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codeName="EstaPasta_de_trabalho" defaultThemeVersion="124226"/>
  <mc:AlternateContent xmlns:mc="http://schemas.openxmlformats.org/markup-compatibility/2006">
    <mc:Choice Requires="x15">
      <x15ac:absPath xmlns:x15ac="http://schemas.microsoft.com/office/spreadsheetml/2010/11/ac" url="G:\Drives compartilhados\SELED\Arquivos que estavam na pasta SELED\Marister\PE_PAD_14148_2023_almoxarifes\Carol\"/>
    </mc:Choice>
  </mc:AlternateContent>
  <bookViews>
    <workbookView xWindow="0" yWindow="0" windowWidth="19320" windowHeight="6930" tabRatio="923"/>
  </bookViews>
  <sheets>
    <sheet name="POSTOS" sheetId="41" r:id="rId1"/>
    <sheet name="RESUMO POR SECRETARIA" sheetId="54" r:id="rId2"/>
    <sheet name="ENCARGOS e PROVISOES" sheetId="44" r:id="rId3"/>
    <sheet name="MOD ENC PRORR CTRAB INDETERM" sheetId="45" state="hidden" r:id="rId4"/>
    <sheet name="CITL" sheetId="33" r:id="rId5"/>
    <sheet name="EQUIPAMENTOS" sheetId="52" r:id="rId6"/>
    <sheet name="INSUMOS" sheetId="53" r:id="rId7"/>
    <sheet name="HORA SUPLEMENTAR" sheetId="38" r:id="rId8"/>
    <sheet name="CALCULO DESCONTO" sheetId="55" r:id="rId9"/>
  </sheets>
  <externalReferences>
    <externalReference r:id="rId10"/>
    <externalReference r:id="rId11"/>
  </externalReferences>
  <definedNames>
    <definedName name="_xlnm.Print_Area" localSheetId="8">'CALCULO DESCONTO'!$A$1:$E$60</definedName>
    <definedName name="_xlnm.Print_Area" localSheetId="4">CITL!$A$1:$H$46</definedName>
    <definedName name="_xlnm.Print_Area" localSheetId="2">'ENCARGOS e PROVISOES'!$A$1:$H$92</definedName>
    <definedName name="_xlnm.Print_Area" localSheetId="5">EQUIPAMENTOS!$A$1:$P$53</definedName>
    <definedName name="_xlnm.Print_Area" localSheetId="7">'HORA SUPLEMENTAR'!$A$1:$I$88</definedName>
    <definedName name="_xlnm.Print_Area" localSheetId="6">INSUMOS!$A$1:$P$76</definedName>
    <definedName name="_xlnm.Print_Area" localSheetId="3">'MOD ENC PRORR CTRAB INDETERM'!$A$1:$H$90</definedName>
    <definedName name="_xlnm.Print_Area" localSheetId="0">POSTOS!$A$1:$W$62</definedName>
    <definedName name="_xlnm.Print_Area" localSheetId="1">'RESUMO POR SECRETARIA'!$A$1:$O$31</definedName>
  </definedNames>
  <calcPr calcId="152511"/>
</workbook>
</file>

<file path=xl/calcChain.xml><?xml version="1.0" encoding="utf-8"?>
<calcChain xmlns="http://schemas.openxmlformats.org/spreadsheetml/2006/main">
  <c r="D74" i="38" l="1"/>
  <c r="D73" i="38"/>
  <c r="D72" i="38"/>
  <c r="E71" i="38"/>
  <c r="E74" i="38" s="1"/>
  <c r="F74" i="38" s="1"/>
  <c r="E73" i="38" l="1"/>
  <c r="F73" i="38" s="1"/>
  <c r="E72" i="38"/>
  <c r="F72" i="38" s="1"/>
  <c r="E43" i="53"/>
  <c r="F43" i="53" s="1"/>
  <c r="E44" i="53"/>
  <c r="F44" i="53" s="1"/>
  <c r="E45" i="53"/>
  <c r="F45" i="53" s="1"/>
  <c r="E46" i="53"/>
  <c r="F46" i="53" s="1"/>
  <c r="E47" i="53"/>
  <c r="F47" i="53" s="1"/>
  <c r="E48" i="53"/>
  <c r="F48" i="53" s="1"/>
  <c r="E49" i="53"/>
  <c r="F49" i="53" s="1"/>
  <c r="E33" i="53"/>
  <c r="F33" i="53" s="1"/>
  <c r="E34" i="53"/>
  <c r="F34" i="53" s="1"/>
  <c r="E35" i="53"/>
  <c r="F35" i="53" s="1"/>
  <c r="E36" i="53"/>
  <c r="F36" i="53" s="1"/>
  <c r="E37" i="53"/>
  <c r="F37" i="53" s="1"/>
  <c r="E21" i="53"/>
  <c r="F21" i="53" s="1"/>
  <c r="E22" i="53"/>
  <c r="F22" i="53" s="1"/>
  <c r="E23" i="53"/>
  <c r="F23" i="53" s="1"/>
  <c r="F38" i="52" l="1"/>
  <c r="F39" i="52"/>
  <c r="F40" i="52"/>
  <c r="F41" i="52"/>
  <c r="F37" i="52"/>
  <c r="G37" i="52"/>
  <c r="G38" i="52"/>
  <c r="H38" i="52" s="1"/>
  <c r="G39" i="52"/>
  <c r="H39" i="52" s="1"/>
  <c r="G40" i="52"/>
  <c r="H40" i="52" s="1"/>
  <c r="G41" i="52"/>
  <c r="H37" i="52" l="1"/>
  <c r="H41" i="52"/>
  <c r="O20" i="53"/>
  <c r="M19" i="53"/>
  <c r="O19" i="53" s="1"/>
  <c r="E19" i="53" s="1"/>
  <c r="F19" i="53" s="1"/>
  <c r="O17" i="53"/>
  <c r="O33" i="53"/>
  <c r="O34" i="53"/>
  <c r="O32" i="53"/>
  <c r="F33" i="52" l="1"/>
  <c r="F34" i="52"/>
  <c r="G35" i="52"/>
  <c r="F35" i="52"/>
  <c r="F36" i="52"/>
  <c r="H35" i="52" l="1"/>
  <c r="G34" i="52"/>
  <c r="H34" i="52" s="1"/>
  <c r="G36" i="52"/>
  <c r="H36" i="52" s="1"/>
  <c r="G33" i="52"/>
  <c r="H33" i="52" s="1"/>
  <c r="M32" i="52"/>
  <c r="M31" i="52"/>
  <c r="O31" i="52"/>
  <c r="F25" i="52" l="1"/>
  <c r="F26" i="52"/>
  <c r="E20" i="53"/>
  <c r="F20" i="53" s="1"/>
  <c r="O18" i="53"/>
  <c r="E18" i="53" s="1"/>
  <c r="F18" i="53" s="1"/>
  <c r="E17" i="53"/>
  <c r="F17" i="53" s="1"/>
  <c r="G25" i="52" l="1"/>
  <c r="H25" i="52" s="1"/>
  <c r="G26" i="52"/>
  <c r="H26" i="52" s="1"/>
  <c r="N21" i="52" l="1"/>
  <c r="K24" i="41"/>
  <c r="J23" i="41"/>
  <c r="J22" i="41"/>
  <c r="J24" i="41" l="1"/>
  <c r="F21" i="52"/>
  <c r="G23" i="52"/>
  <c r="F23" i="52" l="1"/>
  <c r="H23" i="52" s="1"/>
  <c r="G21" i="52"/>
  <c r="H21" i="52" s="1"/>
  <c r="B44" i="55" l="1"/>
  <c r="A44" i="55"/>
  <c r="B27" i="55"/>
  <c r="A27" i="55"/>
  <c r="B10" i="55"/>
  <c r="A10" i="55"/>
  <c r="A6" i="55"/>
  <c r="A5" i="55"/>
  <c r="A3" i="55"/>
  <c r="A2" i="55"/>
  <c r="A1" i="55"/>
  <c r="C49" i="55" l="1"/>
  <c r="C55" i="55" s="1"/>
  <c r="K23" i="41"/>
  <c r="C32" i="55" s="1"/>
  <c r="C38" i="55" s="1"/>
  <c r="K22" i="41"/>
  <c r="C15" i="55" s="1"/>
  <c r="C21" i="55" s="1"/>
  <c r="C63" i="38" l="1"/>
  <c r="C64" i="38"/>
  <c r="C62" i="38"/>
  <c r="C16" i="38"/>
  <c r="C17" i="38"/>
  <c r="C15" i="38"/>
  <c r="B16" i="38"/>
  <c r="B24" i="38" s="1"/>
  <c r="B17" i="38"/>
  <c r="B25" i="38" s="1"/>
  <c r="B15" i="38"/>
  <c r="B23" i="38" s="1"/>
  <c r="B38" i="38" l="1"/>
  <c r="O22" i="41"/>
  <c r="N24" i="41"/>
  <c r="N23" i="41"/>
  <c r="N22" i="41"/>
  <c r="O61" i="53" l="1"/>
  <c r="O60" i="53"/>
  <c r="O59" i="53"/>
  <c r="O58" i="53"/>
  <c r="E21" i="54"/>
  <c r="J21" i="54"/>
  <c r="K21" i="54"/>
  <c r="L21" i="54"/>
  <c r="M21" i="54"/>
  <c r="E22" i="54"/>
  <c r="J22" i="54"/>
  <c r="K22" i="54"/>
  <c r="L22" i="54"/>
  <c r="M22" i="54"/>
  <c r="N20" i="54"/>
  <c r="E20" i="54"/>
  <c r="F20" i="54"/>
  <c r="G20" i="54"/>
  <c r="H20" i="54"/>
  <c r="I20" i="54"/>
  <c r="J20" i="54"/>
  <c r="K20" i="54"/>
  <c r="L20" i="54"/>
  <c r="M20" i="54"/>
  <c r="B20" i="54"/>
  <c r="C20" i="54"/>
  <c r="A20" i="54"/>
  <c r="H23" i="54"/>
  <c r="K16" i="54"/>
  <c r="L16" i="54"/>
  <c r="M16" i="54"/>
  <c r="E16" i="54"/>
  <c r="H16" i="54"/>
  <c r="J16" i="54"/>
  <c r="E15" i="54"/>
  <c r="J15" i="54"/>
  <c r="K15" i="54"/>
  <c r="L15" i="54"/>
  <c r="M15" i="54"/>
  <c r="E14" i="54"/>
  <c r="J14" i="54"/>
  <c r="K14" i="54"/>
  <c r="L14" i="54"/>
  <c r="M14" i="54"/>
  <c r="N13" i="54"/>
  <c r="K13" i="54"/>
  <c r="L13" i="54"/>
  <c r="M13" i="54"/>
  <c r="F13" i="54"/>
  <c r="G13" i="54"/>
  <c r="H13" i="54"/>
  <c r="I13" i="54"/>
  <c r="J13" i="54"/>
  <c r="E13" i="54"/>
  <c r="B13" i="54"/>
  <c r="C13" i="54"/>
  <c r="A13" i="54"/>
  <c r="A16" i="54"/>
  <c r="A15" i="54"/>
  <c r="A14" i="54"/>
  <c r="N6" i="54"/>
  <c r="A9" i="54"/>
  <c r="A10" i="54"/>
  <c r="M7" i="54"/>
  <c r="N7" i="54"/>
  <c r="L6" i="54"/>
  <c r="N5" i="54"/>
  <c r="M5" i="54"/>
  <c r="A3" i="54"/>
  <c r="A2" i="54"/>
  <c r="A1" i="54"/>
  <c r="H37" i="41"/>
  <c r="E32" i="53"/>
  <c r="F32" i="53" s="1"/>
  <c r="D36" i="41"/>
  <c r="D16" i="54" s="1"/>
  <c r="D35" i="41"/>
  <c r="D15" i="54" s="1"/>
  <c r="D34" i="41"/>
  <c r="D21" i="54" s="1"/>
  <c r="D33" i="41"/>
  <c r="D13" i="54" s="1"/>
  <c r="C36" i="41"/>
  <c r="C16" i="54" s="1"/>
  <c r="C35" i="41"/>
  <c r="C15" i="54" s="1"/>
  <c r="C34" i="41"/>
  <c r="C21" i="54" s="1"/>
  <c r="B36" i="41"/>
  <c r="B16" i="54" s="1"/>
  <c r="B35" i="41"/>
  <c r="B15" i="54" s="1"/>
  <c r="B34" i="41"/>
  <c r="B21" i="54" s="1"/>
  <c r="A36" i="41"/>
  <c r="A17" i="38" s="1"/>
  <c r="A25" i="38" s="1"/>
  <c r="A35" i="41"/>
  <c r="A16" i="38" s="1"/>
  <c r="A34" i="41"/>
  <c r="A15" i="38" s="1"/>
  <c r="A23" i="38" s="1"/>
  <c r="G32" i="52"/>
  <c r="F32" i="52"/>
  <c r="G31" i="52"/>
  <c r="F31" i="52"/>
  <c r="G30" i="52"/>
  <c r="F30" i="52"/>
  <c r="G29" i="52"/>
  <c r="F29" i="52"/>
  <c r="G28" i="52"/>
  <c r="F28" i="52"/>
  <c r="G27" i="52"/>
  <c r="F27" i="52"/>
  <c r="G24" i="52"/>
  <c r="F24" i="52"/>
  <c r="G22" i="52"/>
  <c r="G20" i="52"/>
  <c r="G19" i="52"/>
  <c r="O45" i="53"/>
  <c r="O44" i="53"/>
  <c r="O43" i="53"/>
  <c r="O42" i="53"/>
  <c r="E42" i="53" s="1"/>
  <c r="F42" i="53" s="1"/>
  <c r="C12" i="53"/>
  <c r="A7" i="53"/>
  <c r="A6" i="53"/>
  <c r="A3" i="53"/>
  <c r="A2" i="53"/>
  <c r="A1" i="53"/>
  <c r="O70" i="53"/>
  <c r="O49" i="53"/>
  <c r="H12" i="53"/>
  <c r="G46" i="53" l="1"/>
  <c r="H46" i="53" s="1"/>
  <c r="I46" i="53" s="1"/>
  <c r="J46" i="53" s="1"/>
  <c r="G48" i="53"/>
  <c r="H48" i="53" s="1"/>
  <c r="I48" i="53" s="1"/>
  <c r="J48" i="53" s="1"/>
  <c r="G49" i="53"/>
  <c r="H49" i="53" s="1"/>
  <c r="I49" i="53" s="1"/>
  <c r="J49" i="53" s="1"/>
  <c r="G45" i="53"/>
  <c r="H45" i="53" s="1"/>
  <c r="I45" i="53" s="1"/>
  <c r="J45" i="53" s="1"/>
  <c r="G47" i="53"/>
  <c r="H47" i="53" s="1"/>
  <c r="I47" i="53" s="1"/>
  <c r="J47" i="53" s="1"/>
  <c r="G44" i="53"/>
  <c r="H44" i="53" s="1"/>
  <c r="I44" i="53" s="1"/>
  <c r="J44" i="53" s="1"/>
  <c r="G43" i="53"/>
  <c r="H43" i="53" s="1"/>
  <c r="I43" i="53" s="1"/>
  <c r="J43" i="53" s="1"/>
  <c r="E60" i="53"/>
  <c r="F60" i="53" s="1"/>
  <c r="E58" i="53"/>
  <c r="G19" i="53"/>
  <c r="H19" i="53" s="1"/>
  <c r="G34" i="53"/>
  <c r="H34" i="53" s="1"/>
  <c r="I34" i="53" s="1"/>
  <c r="J34" i="53" s="1"/>
  <c r="G35" i="53"/>
  <c r="H35" i="53" s="1"/>
  <c r="I35" i="53" s="1"/>
  <c r="J35" i="53" s="1"/>
  <c r="G36" i="53"/>
  <c r="H36" i="53" s="1"/>
  <c r="I36" i="53" s="1"/>
  <c r="J36" i="53" s="1"/>
  <c r="G22" i="53"/>
  <c r="H22" i="53" s="1"/>
  <c r="I22" i="53" s="1"/>
  <c r="J22" i="53" s="1"/>
  <c r="G37" i="53"/>
  <c r="H37" i="53" s="1"/>
  <c r="I37" i="53" s="1"/>
  <c r="J37" i="53" s="1"/>
  <c r="G23" i="53"/>
  <c r="H23" i="53" s="1"/>
  <c r="I23" i="53" s="1"/>
  <c r="J23" i="53" s="1"/>
  <c r="G33" i="53"/>
  <c r="H33" i="53" s="1"/>
  <c r="I33" i="53" s="1"/>
  <c r="J33" i="53" s="1"/>
  <c r="G21" i="53"/>
  <c r="H21" i="53" s="1"/>
  <c r="I21" i="53" s="1"/>
  <c r="J21" i="53" s="1"/>
  <c r="A22" i="54"/>
  <c r="D14" i="54"/>
  <c r="D20" i="54"/>
  <c r="A24" i="38"/>
  <c r="A38" i="38"/>
  <c r="C14" i="54"/>
  <c r="C22" i="54"/>
  <c r="D22" i="54"/>
  <c r="B14" i="54"/>
  <c r="A21" i="54"/>
  <c r="H58" i="53"/>
  <c r="I58" i="53" s="1"/>
  <c r="G17" i="53"/>
  <c r="H17" i="53" s="1"/>
  <c r="G18" i="53"/>
  <c r="H18" i="53" s="1"/>
  <c r="G20" i="53"/>
  <c r="H20" i="53" s="1"/>
  <c r="H28" i="52"/>
  <c r="H32" i="52"/>
  <c r="B22" i="54"/>
  <c r="H17" i="54"/>
  <c r="E61" i="53"/>
  <c r="F61" i="53" s="1"/>
  <c r="H63" i="53"/>
  <c r="I63" i="53" s="1"/>
  <c r="J63" i="53" s="1"/>
  <c r="E63" i="53"/>
  <c r="F63" i="53" s="1"/>
  <c r="H62" i="53"/>
  <c r="I62" i="53" s="1"/>
  <c r="J62" i="53" s="1"/>
  <c r="E62" i="53"/>
  <c r="F62" i="53" s="1"/>
  <c r="E59" i="53"/>
  <c r="F59" i="53" s="1"/>
  <c r="F58" i="53"/>
  <c r="H61" i="53"/>
  <c r="I61" i="53" s="1"/>
  <c r="J61" i="53" s="1"/>
  <c r="H60" i="53"/>
  <c r="I60" i="53" s="1"/>
  <c r="J60" i="53" s="1"/>
  <c r="H59" i="53"/>
  <c r="I59" i="53" s="1"/>
  <c r="J59" i="53" s="1"/>
  <c r="H27" i="52"/>
  <c r="H30" i="52"/>
  <c r="G32" i="53"/>
  <c r="H32" i="53" s="1"/>
  <c r="I32" i="53" s="1"/>
  <c r="J32" i="53" s="1"/>
  <c r="H29" i="52"/>
  <c r="H31" i="52"/>
  <c r="H24" i="52"/>
  <c r="G42" i="53"/>
  <c r="H42" i="53" s="1"/>
  <c r="I42" i="53" s="1"/>
  <c r="J42" i="53" s="1"/>
  <c r="J58" i="53" l="1"/>
  <c r="J64" i="53" s="1"/>
  <c r="J66" i="53" s="1"/>
  <c r="I20" i="53"/>
  <c r="J20" i="53" s="1"/>
  <c r="I18" i="53"/>
  <c r="J18" i="53" s="1"/>
  <c r="I17" i="53"/>
  <c r="J17" i="53" s="1"/>
  <c r="I19" i="53"/>
  <c r="J19" i="53" s="1"/>
  <c r="U23" i="41" l="1"/>
  <c r="U24" i="41"/>
  <c r="U22" i="41"/>
  <c r="J24" i="53"/>
  <c r="J26" i="53" s="1"/>
  <c r="S24" i="41" s="1"/>
  <c r="J38" i="53"/>
  <c r="J50" i="53"/>
  <c r="J53" i="53" s="1"/>
  <c r="T24" i="41" s="1"/>
  <c r="J52" i="53" l="1"/>
  <c r="T23" i="41" l="1"/>
  <c r="V23" i="41" s="1"/>
  <c r="T22" i="41"/>
  <c r="V22" i="41" s="1"/>
  <c r="G24" i="41" l="1"/>
  <c r="F17" i="33"/>
  <c r="Q21" i="41" l="1"/>
  <c r="I15" i="52"/>
  <c r="C52" i="55"/>
  <c r="C39" i="38"/>
  <c r="C32" i="38"/>
  <c r="C25" i="38"/>
  <c r="C46" i="38"/>
  <c r="O24" i="41"/>
  <c r="O23" i="41"/>
  <c r="M24" i="41"/>
  <c r="M23" i="41"/>
  <c r="M22" i="41"/>
  <c r="L24" i="41"/>
  <c r="L23" i="41"/>
  <c r="L22" i="41"/>
  <c r="C54" i="55"/>
  <c r="C37" i="55"/>
  <c r="I39" i="52" l="1"/>
  <c r="J39" i="52" s="1"/>
  <c r="K39" i="52" s="1"/>
  <c r="I41" i="52"/>
  <c r="J41" i="52" s="1"/>
  <c r="K41" i="52" s="1"/>
  <c r="I37" i="52"/>
  <c r="J37" i="52" s="1"/>
  <c r="K37" i="52" s="1"/>
  <c r="I38" i="52"/>
  <c r="J38" i="52" s="1"/>
  <c r="K38" i="52" s="1"/>
  <c r="I40" i="52"/>
  <c r="J40" i="52" s="1"/>
  <c r="K40" i="52" s="1"/>
  <c r="I34" i="52"/>
  <c r="J34" i="52" s="1"/>
  <c r="K34" i="52" s="1"/>
  <c r="I31" i="52"/>
  <c r="J31" i="52" s="1"/>
  <c r="K31" i="52" s="1"/>
  <c r="I36" i="52"/>
  <c r="J36" i="52" s="1"/>
  <c r="K36" i="52" s="1"/>
  <c r="I32" i="52"/>
  <c r="J32" i="52" s="1"/>
  <c r="K32" i="52" s="1"/>
  <c r="I33" i="52"/>
  <c r="J33" i="52" s="1"/>
  <c r="K33" i="52" s="1"/>
  <c r="I35" i="52"/>
  <c r="J35" i="52" s="1"/>
  <c r="K35" i="52" s="1"/>
  <c r="I30" i="52"/>
  <c r="J30" i="52" s="1"/>
  <c r="K30" i="52" s="1"/>
  <c r="I26" i="52"/>
  <c r="J26" i="52" s="1"/>
  <c r="K26" i="52" s="1"/>
  <c r="I25" i="52"/>
  <c r="J25" i="52" s="1"/>
  <c r="K25" i="52" s="1"/>
  <c r="I24" i="52"/>
  <c r="J24" i="52" s="1"/>
  <c r="K24" i="52" s="1"/>
  <c r="I27" i="52"/>
  <c r="J27" i="52" s="1"/>
  <c r="K27" i="52" s="1"/>
  <c r="I29" i="52"/>
  <c r="J29" i="52" s="1"/>
  <c r="K29" i="52" s="1"/>
  <c r="I28" i="52"/>
  <c r="J28" i="52" s="1"/>
  <c r="K28" i="52" s="1"/>
  <c r="I23" i="52"/>
  <c r="J23" i="52" s="1"/>
  <c r="K23" i="52" s="1"/>
  <c r="I21" i="52"/>
  <c r="J21" i="52" s="1"/>
  <c r="K21" i="52" s="1"/>
  <c r="C20" i="55"/>
  <c r="C55" i="38"/>
  <c r="C53" i="38"/>
  <c r="C54" i="38"/>
  <c r="C15" i="52"/>
  <c r="A7" i="52"/>
  <c r="A6" i="52"/>
  <c r="A3" i="52"/>
  <c r="A2" i="52"/>
  <c r="A1" i="52"/>
  <c r="F20" i="52"/>
  <c r="H20" i="52" s="1"/>
  <c r="F22" i="52"/>
  <c r="F19" i="52"/>
  <c r="H19" i="52" s="1"/>
  <c r="P23" i="41" l="1"/>
  <c r="P24" i="41"/>
  <c r="P22" i="41"/>
  <c r="H22" i="52"/>
  <c r="I22" i="52" s="1"/>
  <c r="J22" i="52" s="1"/>
  <c r="K22" i="52" s="1"/>
  <c r="I19" i="52"/>
  <c r="I20" i="52"/>
  <c r="J20" i="52" s="1"/>
  <c r="K20" i="52" s="1"/>
  <c r="J19" i="52" l="1"/>
  <c r="K19" i="52" s="1"/>
  <c r="K44" i="52" s="1"/>
  <c r="R24" i="41" s="1"/>
  <c r="V24" i="41" l="1"/>
  <c r="F23" i="41"/>
  <c r="G23" i="41" s="1"/>
  <c r="F22" i="41"/>
  <c r="G22" i="41" s="1"/>
  <c r="C18" i="55" l="1"/>
  <c r="C30" i="38"/>
  <c r="C23" i="38"/>
  <c r="C44" i="38"/>
  <c r="C37" i="38"/>
  <c r="C35" i="55"/>
  <c r="C38" i="38"/>
  <c r="C31" i="38"/>
  <c r="C24" i="38"/>
  <c r="C45" i="38"/>
  <c r="F62" i="38" l="1"/>
  <c r="F63" i="38"/>
  <c r="E42" i="41"/>
  <c r="B51" i="38" l="1"/>
  <c r="A51" i="38"/>
  <c r="A6" i="33" l="1"/>
  <c r="A5" i="33"/>
  <c r="A3" i="33"/>
  <c r="A2" i="33"/>
  <c r="A1" i="33"/>
  <c r="H15" i="38" l="1"/>
  <c r="H44" i="33"/>
  <c r="E44" i="33"/>
  <c r="H43" i="33"/>
  <c r="E43" i="33"/>
  <c r="H42" i="33"/>
  <c r="E42" i="33"/>
  <c r="H41" i="33"/>
  <c r="E41" i="33"/>
  <c r="H40" i="33"/>
  <c r="E40" i="33"/>
  <c r="H39" i="33"/>
  <c r="E39" i="33"/>
  <c r="H38" i="33"/>
  <c r="E38" i="33"/>
  <c r="H37" i="33"/>
  <c r="E37" i="33"/>
  <c r="H36" i="33"/>
  <c r="E36" i="33"/>
  <c r="H35" i="33"/>
  <c r="E35" i="33"/>
  <c r="H34" i="33"/>
  <c r="E34" i="33"/>
  <c r="H33" i="33"/>
  <c r="E33" i="33"/>
  <c r="H45" i="33" l="1"/>
  <c r="E45" i="33"/>
  <c r="H29" i="38"/>
  <c r="H43" i="38"/>
  <c r="H22" i="38"/>
  <c r="H36" i="38"/>
  <c r="I62" i="38"/>
  <c r="G62" i="38"/>
  <c r="G63" i="38"/>
  <c r="I63" i="38"/>
  <c r="F64" i="38"/>
  <c r="G64" i="38" s="1"/>
  <c r="I64" i="38"/>
  <c r="B55" i="38"/>
  <c r="A39" i="38"/>
  <c r="A55" i="38"/>
  <c r="A31" i="38"/>
  <c r="A54" i="38"/>
  <c r="B54" i="38"/>
  <c r="B31" i="38"/>
  <c r="A32" i="38"/>
  <c r="A46" i="38"/>
  <c r="B32" i="38"/>
  <c r="A45" i="38"/>
  <c r="B39" i="38"/>
  <c r="B45" i="38"/>
  <c r="B46" i="38"/>
  <c r="D54" i="38" l="1"/>
  <c r="E54" i="38" s="1"/>
  <c r="D55" i="38" l="1"/>
  <c r="E55" i="38" s="1"/>
  <c r="D53" i="38" l="1"/>
  <c r="E53" i="38" s="1"/>
  <c r="I7" i="38" l="1"/>
  <c r="D16" i="38" l="1"/>
  <c r="D17" i="38"/>
  <c r="D15" i="38"/>
  <c r="D39" i="38" l="1"/>
  <c r="D46" i="38"/>
  <c r="D44" i="38"/>
  <c r="D37" i="38"/>
  <c r="D45" i="38"/>
  <c r="D38" i="38"/>
  <c r="D25" i="38"/>
  <c r="D24" i="38"/>
  <c r="A53" i="38"/>
  <c r="B53" i="38"/>
  <c r="B37" i="38"/>
  <c r="B30" i="38"/>
  <c r="B44" i="38"/>
  <c r="A37" i="38"/>
  <c r="A44" i="38"/>
  <c r="A30" i="38"/>
  <c r="D32" i="38"/>
  <c r="D31" i="38"/>
  <c r="A62" i="38"/>
  <c r="B62" i="38"/>
  <c r="A63" i="38"/>
  <c r="B63" i="38"/>
  <c r="A64" i="38"/>
  <c r="B64" i="38"/>
  <c r="E38" i="38" l="1"/>
  <c r="E39" i="38"/>
  <c r="E25" i="38"/>
  <c r="E24" i="38"/>
  <c r="E46" i="38"/>
  <c r="E45" i="38"/>
  <c r="E31" i="38"/>
  <c r="E32" i="38"/>
  <c r="D30" i="38" l="1"/>
  <c r="E30" i="38" l="1"/>
  <c r="E44" i="38"/>
  <c r="E37" i="38"/>
  <c r="D23" i="38"/>
  <c r="E23" i="38" l="1"/>
  <c r="A10" i="38"/>
  <c r="A9" i="38"/>
  <c r="I6" i="38"/>
  <c r="I5" i="38"/>
  <c r="H7" i="38"/>
  <c r="H6" i="38"/>
  <c r="H5" i="38"/>
  <c r="A3" i="38"/>
  <c r="A2" i="38"/>
  <c r="A1" i="38"/>
  <c r="F59" i="45"/>
  <c r="F60" i="45" s="1"/>
  <c r="F70" i="45"/>
  <c r="F71" i="45"/>
  <c r="F69" i="45"/>
  <c r="F67" i="45"/>
  <c r="F42" i="45"/>
  <c r="F34" i="45"/>
  <c r="F35" i="45" s="1"/>
  <c r="F27" i="45"/>
  <c r="F28" i="45" s="1"/>
  <c r="F22" i="45"/>
  <c r="D21" i="45"/>
  <c r="B21" i="45"/>
  <c r="F20" i="45"/>
  <c r="F19" i="45"/>
  <c r="F18" i="45"/>
  <c r="F17" i="45"/>
  <c r="F16" i="45"/>
  <c r="F15" i="45"/>
  <c r="F9" i="45"/>
  <c r="F8" i="45"/>
  <c r="F50" i="45"/>
  <c r="F49" i="45"/>
  <c r="A6" i="45"/>
  <c r="A5" i="45"/>
  <c r="A3" i="45"/>
  <c r="A2" i="45"/>
  <c r="A1" i="45"/>
  <c r="F72" i="45" l="1"/>
  <c r="F21" i="45"/>
  <c r="F23" i="45"/>
  <c r="F73" i="45" l="1"/>
  <c r="F29" i="45"/>
  <c r="F30" i="45" s="1"/>
  <c r="F83" i="45" s="1"/>
  <c r="F61" i="45"/>
  <c r="F52" i="45"/>
  <c r="F53" i="45" s="1"/>
  <c r="F36" i="45"/>
  <c r="F37" i="45" s="1"/>
  <c r="F84" i="45" s="1"/>
  <c r="F79" i="45"/>
  <c r="F54" i="45" l="1"/>
  <c r="F55" i="45" s="1"/>
  <c r="F80" i="45" s="1"/>
  <c r="F43" i="45"/>
  <c r="F44" i="45" s="1"/>
  <c r="F85" i="45" s="1"/>
  <c r="H63" i="38" l="1"/>
  <c r="H64" i="38"/>
  <c r="H62" i="38"/>
  <c r="F62" i="45"/>
  <c r="F63" i="45" s="1"/>
  <c r="F86" i="45" s="1"/>
  <c r="F87" i="45" s="1"/>
  <c r="F74" i="45"/>
  <c r="F75" i="45" s="1"/>
  <c r="F81" i="45" s="1"/>
  <c r="F82" i="45" s="1"/>
  <c r="F89" i="45" l="1"/>
  <c r="F50" i="44" l="1"/>
  <c r="A6" i="44" l="1"/>
  <c r="A5" i="44"/>
  <c r="A3" i="44"/>
  <c r="A2" i="44"/>
  <c r="A1" i="44"/>
  <c r="F60" i="44"/>
  <c r="F42" i="44"/>
  <c r="F35" i="44"/>
  <c r="F28" i="44"/>
  <c r="F21" i="44"/>
  <c r="F23" i="44" s="1"/>
  <c r="F15" i="38" l="1"/>
  <c r="C53" i="55"/>
  <c r="C56" i="55" s="1"/>
  <c r="C57" i="55" s="1"/>
  <c r="C58" i="55" s="1"/>
  <c r="C19" i="55"/>
  <c r="C22" i="55" s="1"/>
  <c r="C23" i="55" s="1"/>
  <c r="C24" i="55" s="1"/>
  <c r="C36" i="55"/>
  <c r="C39" i="55" s="1"/>
  <c r="C40" i="55" s="1"/>
  <c r="C41" i="55" s="1"/>
  <c r="F52" i="44"/>
  <c r="F72" i="44"/>
  <c r="F73" i="44" s="1"/>
  <c r="F29" i="44"/>
  <c r="F30" i="44" s="1"/>
  <c r="F36" i="44"/>
  <c r="F37" i="44" s="1"/>
  <c r="F85" i="44" s="1"/>
  <c r="F61" i="44"/>
  <c r="F49" i="44"/>
  <c r="F79" i="44"/>
  <c r="F36" i="38" l="1"/>
  <c r="F29" i="38"/>
  <c r="F22" i="38"/>
  <c r="F43" i="38"/>
  <c r="F53" i="44"/>
  <c r="F43" i="44"/>
  <c r="F44" i="44" s="1"/>
  <c r="F86" i="44" s="1"/>
  <c r="F84" i="44"/>
  <c r="F39" i="38" l="1"/>
  <c r="G39" i="38" s="1"/>
  <c r="H39" i="38" s="1"/>
  <c r="I39" i="38" s="1"/>
  <c r="F38" i="38"/>
  <c r="G38" i="38" s="1"/>
  <c r="H38" i="38" s="1"/>
  <c r="I38" i="38" s="1"/>
  <c r="F45" i="38"/>
  <c r="G45" i="38" s="1"/>
  <c r="F46" i="38"/>
  <c r="G46" i="38" s="1"/>
  <c r="F31" i="38"/>
  <c r="G31" i="38" s="1"/>
  <c r="F32" i="38"/>
  <c r="G32" i="38" s="1"/>
  <c r="F30" i="38"/>
  <c r="G30" i="38" s="1"/>
  <c r="F24" i="38"/>
  <c r="G24" i="38" s="1"/>
  <c r="F25" i="38"/>
  <c r="G25" i="38" s="1"/>
  <c r="F37" i="38"/>
  <c r="G37" i="38" s="1"/>
  <c r="F54" i="44"/>
  <c r="F55" i="44" s="1"/>
  <c r="F44" i="38"/>
  <c r="G44" i="38" s="1"/>
  <c r="F23" i="38"/>
  <c r="G23" i="38" s="1"/>
  <c r="H46" i="38" l="1"/>
  <c r="I46" i="38" s="1"/>
  <c r="H45" i="38"/>
  <c r="I45" i="38" s="1"/>
  <c r="H44" i="38"/>
  <c r="I44" i="38" s="1"/>
  <c r="H37" i="38"/>
  <c r="I37" i="38" s="1"/>
  <c r="H32" i="38"/>
  <c r="I32" i="38" s="1"/>
  <c r="H31" i="38"/>
  <c r="I31" i="38" s="1"/>
  <c r="H30" i="38"/>
  <c r="I30" i="38" s="1"/>
  <c r="H23" i="38"/>
  <c r="I23" i="38" s="1"/>
  <c r="H25" i="38"/>
  <c r="I25" i="38" s="1"/>
  <c r="H24" i="38"/>
  <c r="I24" i="38" s="1"/>
  <c r="F62" i="44"/>
  <c r="F63" i="44" s="1"/>
  <c r="F87" i="44" s="1"/>
  <c r="F88" i="44" s="1"/>
  <c r="F80" i="44"/>
  <c r="F74" i="44"/>
  <c r="F75" i="44" s="1"/>
  <c r="F81" i="44" s="1"/>
  <c r="F82" i="44" l="1"/>
  <c r="F90" i="44" s="1"/>
  <c r="H21" i="41" s="1"/>
  <c r="H22" i="41" l="1"/>
  <c r="I22" i="41" s="1"/>
  <c r="H23" i="41"/>
  <c r="I23" i="41" s="1"/>
  <c r="H24" i="41"/>
  <c r="I24" i="41" s="1"/>
  <c r="B42" i="38"/>
  <c r="A42" i="38"/>
  <c r="B35" i="38"/>
  <c r="A35" i="38"/>
  <c r="B28" i="38"/>
  <c r="A28" i="38"/>
  <c r="B21" i="38"/>
  <c r="A21" i="38"/>
  <c r="Q24" i="41" l="1"/>
  <c r="W24" i="41" s="1"/>
  <c r="F36" i="41" s="1"/>
  <c r="F16" i="54" s="1"/>
  <c r="I16" i="54" s="1"/>
  <c r="Q22" i="41"/>
  <c r="W22" i="41" s="1"/>
  <c r="F34" i="41" s="1"/>
  <c r="Q23" i="41"/>
  <c r="W23" i="41" s="1"/>
  <c r="F35" i="41" s="1"/>
  <c r="F15" i="54" l="1"/>
  <c r="I15" i="54" s="1"/>
  <c r="F22" i="54"/>
  <c r="I22" i="54" s="1"/>
  <c r="F21" i="54"/>
  <c r="I21" i="54" s="1"/>
  <c r="F14" i="54"/>
  <c r="I14" i="54" s="1"/>
  <c r="G35" i="41"/>
  <c r="I35" i="41"/>
  <c r="G34" i="41"/>
  <c r="I34" i="41"/>
  <c r="G36" i="41"/>
  <c r="G16" i="54" s="1"/>
  <c r="I36" i="41"/>
  <c r="G15" i="54" l="1"/>
  <c r="N15" i="54" s="1"/>
  <c r="G22" i="54"/>
  <c r="N22" i="54" s="1"/>
  <c r="G14" i="54"/>
  <c r="N14" i="54" s="1"/>
  <c r="G21" i="54"/>
  <c r="N21" i="54" s="1"/>
  <c r="I23" i="54"/>
  <c r="N16" i="54"/>
  <c r="I17" i="54"/>
  <c r="N35" i="41"/>
  <c r="N34" i="41"/>
  <c r="N36" i="41"/>
  <c r="I37" i="41"/>
  <c r="N23" i="54" l="1"/>
  <c r="N17" i="54"/>
  <c r="N37" i="41"/>
  <c r="E44" i="41" s="1"/>
  <c r="N25" i="54" l="1"/>
</calcChain>
</file>

<file path=xl/sharedStrings.xml><?xml version="1.0" encoding="utf-8"?>
<sst xmlns="http://schemas.openxmlformats.org/spreadsheetml/2006/main" count="804" uniqueCount="466">
  <si>
    <t>INSS</t>
  </si>
  <si>
    <t>INCRA</t>
  </si>
  <si>
    <t>Salário Educação</t>
  </si>
  <si>
    <t>FGTS</t>
  </si>
  <si>
    <t>SEBRAE</t>
  </si>
  <si>
    <t>REMUNERAÇÃO</t>
  </si>
  <si>
    <t>%</t>
  </si>
  <si>
    <t>ENCARGOS SOCIAIS E TRABALHISTAS</t>
  </si>
  <si>
    <t>Item</t>
  </si>
  <si>
    <t>MONTANTE A</t>
  </si>
  <si>
    <t>MONTANTE B</t>
  </si>
  <si>
    <t>SALÁRIO</t>
  </si>
  <si>
    <t>ENCARGOS SOCIAIS</t>
  </si>
  <si>
    <t>CÉLULAS A PREENCHER</t>
  </si>
  <si>
    <t>DESCANSO SEMANAL REMUNERADO</t>
  </si>
  <si>
    <t>Sim</t>
  </si>
  <si>
    <t>Não</t>
  </si>
  <si>
    <t>SESI / SESC</t>
  </si>
  <si>
    <t>SENAI / SENAC</t>
  </si>
  <si>
    <t>Adicional de Férias</t>
  </si>
  <si>
    <t>13º Salário</t>
  </si>
  <si>
    <t>Multa do FGTS sobre Rescisão sem Justa Causa</t>
  </si>
  <si>
    <t>Ausência por Doença</t>
  </si>
  <si>
    <t>Licença Paternidade</t>
  </si>
  <si>
    <t>Ausência por Acidente de Trabalho</t>
  </si>
  <si>
    <t xml:space="preserve">RESUMO DO MÓDULO - ENCARGOS SOCIAIS E TRABALHISTAS </t>
  </si>
  <si>
    <t>1. Encargos Previdenciários e FGTS</t>
  </si>
  <si>
    <t>CITL - CUSTOS INDIRETOS, TRIBUTOS E LUCRO</t>
  </si>
  <si>
    <t>Custo Indireto (CI) - Taxa de administração</t>
  </si>
  <si>
    <t>Taxa de Lucro  (L)</t>
  </si>
  <si>
    <t>ISS (T)</t>
  </si>
  <si>
    <t>Memória de cálculo:</t>
  </si>
  <si>
    <t>Data da Proposta:</t>
  </si>
  <si>
    <t>Optante pela desoneração da folha de pagamento?
(Lei 12.546/2011)</t>
  </si>
  <si>
    <t xml:space="preserve">SUBMÓDULO 1 - Encargos Previdenciários e FGTS </t>
  </si>
  <si>
    <t>FUNDAMENTO LEGAL</t>
  </si>
  <si>
    <t>MEMÓRIA DE CÁLCULO</t>
  </si>
  <si>
    <t xml:space="preserve">Art. 22, inciso I, da Lei 8.212/91. </t>
  </si>
  <si>
    <t>Art. 30 da Lei 8.036/90.</t>
  </si>
  <si>
    <t>Art. 1º, inciso I, do Decreto Lei nº 1.146/70.</t>
  </si>
  <si>
    <t>Decreto nº 2.318/86.</t>
  </si>
  <si>
    <t>Art. 3º, inciso I, do Decreto nº 87.043/82; art. 15, de Lei nº 9424/96; e art 2º, do Decreto nº 3412/99.</t>
  </si>
  <si>
    <t>Art. 8º da Lei 8.029/90, alterada pela Lei nº 8.154/90.</t>
  </si>
  <si>
    <t>Art. 15 da Lei. 8036/90 e art 7º, inciso III, da Constituição Federal de 05/10/88.</t>
  </si>
  <si>
    <t>8% sobre a remuneração.</t>
  </si>
  <si>
    <t>Total do SUBMÓDULO 1:</t>
  </si>
  <si>
    <t>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t>
  </si>
  <si>
    <t>Súmula nº 305/TST e Acórdão TCU 2.217/2010 - Plenário.</t>
  </si>
  <si>
    <t xml:space="preserve">Refere-se à indenização de sete dias corridos devida ao empregado no caso de o empregador rescindir o contrato sem justo motivo e conceder aviso prévio, conforme disposto no art. 488 da CLT.  (Acordão TCU 1186/2017). </t>
  </si>
  <si>
    <t>A Lei Complementar nº 110, de 29 de junho de 2001, determina multa de 50% sobre a soma dos depósitos do FGTS, no caso de rescisão sem justa causa. Considerando que 10% dos empregados pedem contas, essa penalidade recai sobre os 90% remanescentes. Considerando o pagamento da multa para os valores depositados relativos a salários, férias e 13º salário.</t>
  </si>
  <si>
    <t>Total do SUBMÓDULO 4:</t>
  </si>
  <si>
    <t>O artigo 27 do Decreto nº 89.312, de 23/01/84, obriga o empregador a assumir o ônus financeiro pelo prazo de 15 dias, no caso de acidente de trabalho previsto no art. 131 da CLT. De acordo com os números mais recentes apresentados pelo Ministério da Previdência de Assistência Social, baseados em informações prestadas pelos empregadores, por meio da GFIP, 0,78% (zero vírgula setenta e oito por cento) dos empregados se acidentam no ano.</t>
  </si>
  <si>
    <t>HORA SUPLEMENTAR NOTURNA 100%</t>
  </si>
  <si>
    <t>HORA SUPLEMENTAR NOTURNA 50%</t>
  </si>
  <si>
    <t>HORA SUPLEMENTAR 50%</t>
  </si>
  <si>
    <t>HORA SUPLEMENTAR 100%</t>
  </si>
  <si>
    <t>VALOR  DA HORA SUPLEMENTAR  50%</t>
  </si>
  <si>
    <t>VALOR  DA HORA SUPLEMENTAR NOTURNA 50%</t>
  </si>
  <si>
    <t>VALOR  DA HORA SUPLEMENTAR NOTURNA 100%</t>
  </si>
  <si>
    <t>AUXÍLIOS DECORRENTES DE JORNADA SUPLEMENTAR</t>
  </si>
  <si>
    <t>TRIBUNAL REGIONAL ELEITORAL DO PARANÁ</t>
  </si>
  <si>
    <t>HR SALÁRIO NOTURNO COM 50% DE ACRÉSCIMO</t>
  </si>
  <si>
    <t>HR SALÁRIO NOTURNO COM 100% DE ACRÉSCIMO</t>
  </si>
  <si>
    <t xml:space="preserve">Observações: </t>
  </si>
  <si>
    <t>Quant. Diária</t>
  </si>
  <si>
    <t>RAT
(%)</t>
  </si>
  <si>
    <t>FAP
(Fator)</t>
  </si>
  <si>
    <t>RAT Ajustado</t>
  </si>
  <si>
    <t>Observações:</t>
  </si>
  <si>
    <t>Quantidade de Postos</t>
  </si>
  <si>
    <t>Licitação n.:</t>
  </si>
  <si>
    <t>NOME DA EMPRESA</t>
  </si>
  <si>
    <t>CNPJ</t>
  </si>
  <si>
    <t>Jornada Semanal</t>
  </si>
  <si>
    <t>h</t>
  </si>
  <si>
    <t/>
  </si>
  <si>
    <t>Valores expressos em reais (R$).</t>
  </si>
  <si>
    <t>PAD n.:</t>
  </si>
  <si>
    <t>Observação:</t>
  </si>
  <si>
    <t>MEMÓRIA DE CÁLCULO:</t>
  </si>
  <si>
    <t>Alterar a memória de cálculo conforme a proposta</t>
  </si>
  <si>
    <t>Art. 22, inciso II, alineas "b" e "c" da Lei 8.212/91; Decreto nº 6042/07; Anexo da Resolução MPS/CNPS nº 1.329/17 (Fator Acidentário de Prevenção - FAP). 
Alíquotas do RAT de 1%, 2% ou 3%, pondendo ser reduzida pela metade ou acrescida em até 100% pelo FAP.</t>
  </si>
  <si>
    <t xml:space="preserve">A Constituição Federal no Art.  7º inciso XIII, prevê o décimo terceiro salário com base na remuneração integral. Portanto, cada trabalhador faz jus a um salário por ano a esse título. </t>
  </si>
  <si>
    <t>8,33%
ARRED((1/12)*100;2)</t>
  </si>
  <si>
    <t>Subtotal 2.1</t>
  </si>
  <si>
    <t>SM1 sobre subtotal 2.1</t>
  </si>
  <si>
    <t>Subtotal 2.1 x Total SM 1</t>
  </si>
  <si>
    <t>Total do SUBMÓDULO 2.1:</t>
  </si>
  <si>
    <t>A Constituição Federal no Art. 7º inciso XVII, dispõe que é direito do trabalhador o "gozo de férias anuais remuneradas com, pelo menos, um terço a mais do que o salário normal".</t>
  </si>
  <si>
    <t>2,78%
ARRED(((1/3)/12)*100;2)</t>
  </si>
  <si>
    <t>Subtotal 2.2</t>
  </si>
  <si>
    <t>SM1 sobre subtotal 2.2</t>
  </si>
  <si>
    <t>Subtotal 2.2 x Total SM 1</t>
  </si>
  <si>
    <t>Total do SUBMÓDULO 2.2:</t>
  </si>
  <si>
    <t>Subtotal 3.1</t>
  </si>
  <si>
    <t>Incidência dos Custos Rescisórios sobre SM 2</t>
  </si>
  <si>
    <t>Incidência sobre férias e 13º salário.</t>
  </si>
  <si>
    <t>Subtotal 3.1 X Total SM2</t>
  </si>
  <si>
    <t>Total do SUBMÓDULO 3.1:</t>
  </si>
  <si>
    <t>SUBMÓDULO 3 - Provisão para Rescisão - 3.2. Exceto Multa FGTS</t>
  </si>
  <si>
    <t>Aviso Prévio Indenizado - API</t>
  </si>
  <si>
    <t>Incidência do FGTS sobre o API</t>
  </si>
  <si>
    <t>API X 8%</t>
  </si>
  <si>
    <t>Incidência da Multa do FGTS sobre o API</t>
  </si>
  <si>
    <t>Incidência da Multa de 40% sobre o FGTS de 8% que deve incidir sobre o percentual de empregados demitidos com API</t>
  </si>
  <si>
    <t>(5% X 8% X 40%) * 100 = 0,16%</t>
  </si>
  <si>
    <t>Aviso Prévio Trabalhado - APT</t>
  </si>
  <si>
    <t>Incidência dos Encargos do SM 1 sobre o APT</t>
  </si>
  <si>
    <t>F23 X F44</t>
  </si>
  <si>
    <t>Subtotal 3</t>
  </si>
  <si>
    <t>Tendo em vista que o Aviso Prévio Trabalhado e Indenizado integram tempo de serviço, eles incidem sobre férias e 13º salário.</t>
  </si>
  <si>
    <t>Subtotal 4 X Total SM2</t>
  </si>
  <si>
    <t>Reposição em Férias</t>
  </si>
  <si>
    <t>Afastamento de 30 dias, sem prejuizo da remuneração, após cada período de 12 meses de vigência do contrato de trabalho. O pagamento ocorre conforme preceitua o art. 129 e o inc. I art. 130, CLT; e art. 7º, inciso XVII, CF.</t>
  </si>
  <si>
    <t>Subtotal 4.1</t>
  </si>
  <si>
    <t>Incidência do SM1 sobre o subtotal 4.1</t>
  </si>
  <si>
    <t>Incidência dos custos com 1/3 de férias, 13º sal e rescisão sobre a substituição.</t>
  </si>
  <si>
    <t>Tendo em vista a necessidade de custeio integral dos substitutos, deve ser considerado o reflexo do custo do terço constitucional, 13º salário e verbas rescisórias para os substitutos.</t>
  </si>
  <si>
    <t>((Total SM2+ Total SM3)*Subtotal 4.2)</t>
  </si>
  <si>
    <t>Total do SUBMÓDULO 4.1:</t>
  </si>
  <si>
    <t>SUBMÓDULO 4 - Custo de Reposição do Profissional Ausente - 4.2 (Exceto Férias)</t>
  </si>
  <si>
    <t xml:space="preserve">Substituição na cobertura das ausências Legais </t>
  </si>
  <si>
    <t>Licença Maternidade</t>
  </si>
  <si>
    <t>Criada pelo art. 7º, inciso XIX da CF, combinado com o art. 10, § 1º dos Atos das Disposições Constitucionais Transitórias – ADCT -, concede ao empregado o direito de ausentar-se do serviço por cinco dias quando do nascimento de filho. De acordo com o IBGE, nascem filhos de 1,5% dos trabalhadores no período de um ano.
As empresas que declaram impostos sobre o lucro real podem participar do Programa Empresa Cidadã  (PEC) e disponibilizar o benefício de 20 dias de licença-paternidade. Cerca de 18% das empresas brasileiras estão inscritas no PEC.</t>
  </si>
  <si>
    <t>Subtotal 4.2</t>
  </si>
  <si>
    <t>Incidência do SM1 sobre o subtotal 4.2</t>
  </si>
  <si>
    <t>Total do SUBMÓDULO 4.2:</t>
  </si>
  <si>
    <t>3.2 Provisão para Rescisão (exceto Multa FGTS)</t>
  </si>
  <si>
    <t>4.2. CRPA (Exceto Férias)</t>
  </si>
  <si>
    <t>2.1. 13º Salário</t>
  </si>
  <si>
    <t>2.2. Adicional de Férias</t>
  </si>
  <si>
    <t>3.1 Provisão para Rescisão - Multa FGTS</t>
  </si>
  <si>
    <t>4.1. Férias</t>
  </si>
  <si>
    <t xml:space="preserve">Total dos Encargos Sociais e Trabalhistas: </t>
  </si>
  <si>
    <t>SUBMÓDULO 2 - 2.1 - 13º Salário</t>
  </si>
  <si>
    <t>SUBMÓDULO 2 - 2.2 - Adicional de Férias</t>
  </si>
  <si>
    <t>SUBMÓDULO 3 - Provisão para Rescisão - 3.1. Multa FGTS</t>
  </si>
  <si>
    <t>Custeado Integralmente pela Previdência. Tem reflexos em férias, 13º salário e diferença salarial entre o teto da previdência e o recebido.</t>
  </si>
  <si>
    <t>Esta parcela refere-se aos dias em que empregado fica doente e a contratada deve providenciar a sua substituição. O IBGE registra a estatística de 5,96 dias por ano. Consideramos a média de 4,96 dias de reposições efetivadas (subtraindo-se 1 dia).</t>
  </si>
  <si>
    <r>
      <t xml:space="preserve">A estimativa se baseou no percentual máximo de alíquota RAT e no valor máximo de FAP passíveis de serem utilizados nas propostas .
</t>
    </r>
    <r>
      <rPr>
        <b/>
        <sz val="8"/>
        <color rgb="FF000000"/>
        <rFont val="Calibri"/>
        <family val="2"/>
        <scheme val="minor"/>
      </rPr>
      <t>A licitante deverá informar a sua alíquota e o seu FAP vigente.</t>
    </r>
  </si>
  <si>
    <r>
      <t>SUBMÓDULO 1</t>
    </r>
    <r>
      <rPr>
        <sz val="8"/>
        <rFont val="Calibri"/>
        <family val="2"/>
        <scheme val="minor"/>
      </rPr>
      <t xml:space="preserve"> sobre o 13º Salário e Adicional de Férias.</t>
    </r>
  </si>
  <si>
    <r>
      <rPr>
        <b/>
        <sz val="8"/>
        <rFont val="Calibri"/>
        <family val="2"/>
        <scheme val="minor"/>
      </rPr>
      <t>SUBMÓDULO 1</t>
    </r>
    <r>
      <rPr>
        <sz val="8"/>
        <rFont val="Calibri"/>
        <family val="2"/>
        <scheme val="minor"/>
      </rPr>
      <t xml:space="preserve"> sobre o Aviso Prévio Trabalhado. </t>
    </r>
  </si>
  <si>
    <r>
      <t>SUBMÓDULO 1</t>
    </r>
    <r>
      <rPr>
        <sz val="8"/>
        <color rgb="FF000000"/>
        <rFont val="Calibri"/>
        <family val="2"/>
        <scheme val="minor"/>
      </rPr>
      <t xml:space="preserve"> sobre o Custo de Repos. do Profiss. Ausente. </t>
    </r>
  </si>
  <si>
    <t>Esta parcela refere-se as faltas legais previstas no art 473 CLT, em que a  contratada deve providenciar sua substituição. Utilizamos como referência  1 dia, conforme dados estatísticos do IBGE (item 20 do Acórdão 6771/2009 do TCU).</t>
  </si>
  <si>
    <t xml:space="preserve">Percentual </t>
  </si>
  <si>
    <r>
      <t>INSS (CPRB)</t>
    </r>
    <r>
      <rPr>
        <sz val="10"/>
        <color rgb="FFFF0000"/>
        <rFont val="Calibri"/>
        <family val="2"/>
        <scheme val="minor"/>
      </rPr>
      <t>*</t>
    </r>
    <r>
      <rPr>
        <sz val="10"/>
        <color theme="1"/>
        <rFont val="Calibri"/>
        <family val="2"/>
        <scheme val="minor"/>
      </rPr>
      <t xml:space="preserve"> (T)</t>
    </r>
  </si>
  <si>
    <t>% CITL =  ((1 + CI) * (1 + L) / (1 - TR)) - 1</t>
  </si>
  <si>
    <r>
      <rPr>
        <sz val="10"/>
        <color theme="6" tint="-0.499984740745262"/>
        <rFont val="Calibri"/>
        <family val="2"/>
        <scheme val="minor"/>
      </rPr>
      <t>TAXAS DE ADMINISTRAÇÃO</t>
    </r>
    <r>
      <rPr>
        <b/>
        <sz val="10"/>
        <color theme="6" tint="-0.499984740745262"/>
        <rFont val="Calibri"/>
        <family val="2"/>
        <scheme val="minor"/>
      </rPr>
      <t xml:space="preserve"> (CI) </t>
    </r>
    <r>
      <rPr>
        <sz val="10"/>
        <color theme="6" tint="-0.499984740745262"/>
        <rFont val="Calibri"/>
        <family val="2"/>
        <scheme val="minor"/>
      </rPr>
      <t>e</t>
    </r>
    <r>
      <rPr>
        <b/>
        <sz val="10"/>
        <color theme="6" tint="-0.499984740745262"/>
        <rFont val="Calibri"/>
        <family val="2"/>
        <scheme val="minor"/>
      </rPr>
      <t xml:space="preserve"> </t>
    </r>
    <r>
      <rPr>
        <sz val="10"/>
        <color theme="6" tint="-0.499984740745262"/>
        <rFont val="Calibri"/>
        <family val="2"/>
        <scheme val="minor"/>
      </rPr>
      <t xml:space="preserve">LUCRO </t>
    </r>
    <r>
      <rPr>
        <b/>
        <sz val="10"/>
        <color theme="6" tint="-0.499984740745262"/>
        <rFont val="Calibri"/>
        <family val="2"/>
        <scheme val="minor"/>
      </rPr>
      <t>(L):</t>
    </r>
    <r>
      <rPr>
        <sz val="10"/>
        <color theme="6" tint="-0.499984740745262"/>
        <rFont val="Calibri"/>
        <family val="2"/>
        <scheme val="minor"/>
      </rPr>
      <t xml:space="preserve"> a estimativa do TRE-PR considerou</t>
    </r>
    <r>
      <rPr>
        <b/>
        <sz val="10"/>
        <color theme="6" tint="-0.499984740745262"/>
        <rFont val="Calibri"/>
        <family val="2"/>
        <scheme val="minor"/>
      </rPr>
      <t xml:space="preserve"> </t>
    </r>
    <r>
      <rPr>
        <sz val="10"/>
        <color theme="6" tint="-0.499984740745262"/>
        <rFont val="Calibri"/>
        <family val="2"/>
        <scheme val="minor"/>
      </rPr>
      <t>o histórico de contratações apuradas pelo STJ no Manual de Preenchimento de Planilha de Custos e Formação de Preços do STJ.</t>
    </r>
  </si>
  <si>
    <r>
      <rPr>
        <b/>
        <sz val="10"/>
        <color theme="6" tint="-0.499984740745262"/>
        <rFont val="Calibri"/>
        <family val="2"/>
        <scheme val="minor"/>
      </rPr>
      <t>IRPJ e CSL</t>
    </r>
    <r>
      <rPr>
        <sz val="10"/>
        <color theme="6" tint="-0.499984740745262"/>
        <rFont val="Calibri"/>
        <family val="2"/>
        <scheme val="minor"/>
      </rPr>
      <t xml:space="preserve">L: conforme pontuado pelo Tribunal de Contas da União, </t>
    </r>
    <r>
      <rPr>
        <b/>
        <sz val="10"/>
        <color theme="6" tint="-0.499984740745262"/>
        <rFont val="Calibri"/>
        <family val="2"/>
        <scheme val="minor"/>
      </rPr>
      <t>os licitantes devem prever o custeio não destacado da CSLL e do</t>
    </r>
    <r>
      <rPr>
        <sz val="10"/>
        <color theme="6" tint="-0.499984740745262"/>
        <rFont val="Calibri"/>
        <family val="2"/>
        <scheme val="minor"/>
      </rPr>
      <t xml:space="preserve"> </t>
    </r>
    <r>
      <rPr>
        <b/>
        <sz val="10"/>
        <color theme="6" tint="-0.499984740745262"/>
        <rFont val="Calibri"/>
        <family val="2"/>
        <scheme val="minor"/>
      </rPr>
      <t>IRPJ,</t>
    </r>
    <r>
      <rPr>
        <sz val="10"/>
        <color theme="6" tint="-0.499984740745262"/>
        <rFont val="Calibri"/>
        <family val="2"/>
        <scheme val="minor"/>
      </rPr>
      <t xml:space="preserve"> por se tratarem de tributos que incidem sobre o faturamento e não sobre o valor do serviço, na sua composição do CITL, </t>
    </r>
    <r>
      <rPr>
        <b/>
        <sz val="10"/>
        <color theme="6" tint="-0.499984740745262"/>
        <rFont val="Calibri"/>
        <family val="2"/>
        <scheme val="minor"/>
      </rPr>
      <t>mediante aplicação de TAXAS DE ADMINISTRAÇÃO e LUCRO que sejam suficientes.</t>
    </r>
  </si>
  <si>
    <t>Alterar a memória de cálculo conforme negociação</t>
  </si>
  <si>
    <t>Idem guia ENCARGOS e PROVISOES</t>
  </si>
  <si>
    <t>Percentual máximo em prorrogação em que se justifique a negociação, considerando o perfil dos profissionais então contratados.</t>
  </si>
  <si>
    <r>
      <t xml:space="preserve">Percentual poderá ser incluído na hipótese de prorrogação contratual em que se justifique a negociação, como por exemplo prorrogação que demande, da contratada, </t>
    </r>
    <r>
      <rPr>
        <b/>
        <sz val="8"/>
        <rFont val="Calibri"/>
        <family val="2"/>
        <scheme val="minor"/>
      </rPr>
      <t>contratos de trabalho por prazo indeterminado</t>
    </r>
    <r>
      <rPr>
        <sz val="8"/>
        <rFont val="Calibri"/>
        <family val="2"/>
        <scheme val="minor"/>
      </rPr>
      <t>.</t>
    </r>
  </si>
  <si>
    <t>Percentual máximo em prorrogação em que se justifique a negociação, considerando as características da prorrogação.</t>
  </si>
  <si>
    <t>1,94% por 12 meses e, após, 0,194 por mês.</t>
  </si>
  <si>
    <t>CITL - Custos Indiretos, Tributos e Lucro</t>
  </si>
  <si>
    <r>
      <rPr>
        <b/>
        <sz val="10"/>
        <rFont val="Calibri"/>
        <family val="2"/>
        <scheme val="minor"/>
      </rPr>
      <t>Encargos Sociais</t>
    </r>
    <r>
      <rPr>
        <sz val="10"/>
        <rFont val="Calibri"/>
        <family val="2"/>
        <scheme val="minor"/>
      </rPr>
      <t>: Corresponde ao SUBMÓDULO 1 da guia Encargos Sociais (F23)</t>
    </r>
  </si>
  <si>
    <r>
      <t>Vale Alimentação Suplementar</t>
    </r>
    <r>
      <rPr>
        <sz val="10"/>
        <rFont val="Calibri"/>
        <family val="2"/>
        <scheme val="minor"/>
      </rPr>
      <t>: Valor diário após desconto, conforme proposta na guia POSTOS.</t>
    </r>
  </si>
  <si>
    <r>
      <rPr>
        <b/>
        <sz val="10"/>
        <rFont val="Calibri"/>
        <family val="2"/>
        <scheme val="minor"/>
      </rPr>
      <t>CITL</t>
    </r>
    <r>
      <rPr>
        <sz val="10"/>
        <rFont val="Calibri"/>
        <family val="2"/>
        <scheme val="minor"/>
      </rPr>
      <t>: Conforme cálculo na guia CITL.</t>
    </r>
  </si>
  <si>
    <r>
      <t xml:space="preserve">Encargos e Provisões: </t>
    </r>
    <r>
      <rPr>
        <sz val="10"/>
        <rFont val="Calibri"/>
        <family val="2"/>
        <scheme val="minor"/>
      </rPr>
      <t>Preencher guia Encargos e Provisões.</t>
    </r>
  </si>
  <si>
    <t>Soma dos Demais itens de custo:</t>
  </si>
  <si>
    <t>VALE ALIMENTAÇÃO SUPLEMENTAR - VAS*</t>
  </si>
  <si>
    <r>
      <t xml:space="preserve">POR DIA 
</t>
    </r>
    <r>
      <rPr>
        <sz val="9"/>
        <rFont val="Calibri"/>
        <family val="2"/>
        <scheme val="minor"/>
      </rPr>
      <t>(Valor mensal / 21)</t>
    </r>
  </si>
  <si>
    <t>VALOR DIÁRIO 
FINAL</t>
  </si>
  <si>
    <t>VALE TRANSPORTE SUPLEMENTAR - VTS*</t>
  </si>
  <si>
    <t>Valor Unitário da passagem</t>
  </si>
  <si>
    <t>Quantidade Diária de passagens</t>
  </si>
  <si>
    <t>Preencha a quant. de dias SDF's laborados em regime de HE no mês:</t>
  </si>
  <si>
    <t>VALOR VTS 
POR DIA</t>
  </si>
  <si>
    <t>VALOR DIÁRIO
FINAL</t>
  </si>
  <si>
    <t>VALOR MENSAL
FINAL</t>
  </si>
  <si>
    <r>
      <rPr>
        <b/>
        <sz val="10"/>
        <rFont val="Calibri"/>
        <family val="2"/>
        <scheme val="minor"/>
      </rPr>
      <t>Descanso Semanal Remunerado</t>
    </r>
    <r>
      <rPr>
        <sz val="10"/>
        <rFont val="Calibri"/>
        <family val="2"/>
        <scheme val="minor"/>
      </rPr>
      <t xml:space="preserve">: Incluído o DSR de 20%* sobre o valor da hora suplementar. 
</t>
    </r>
    <r>
      <rPr>
        <i/>
        <sz val="10"/>
        <color theme="5" tint="-0.499984740745262"/>
        <rFont val="Calibri"/>
        <family val="2"/>
        <scheme val="minor"/>
      </rPr>
      <t>*Percentual obtido considerando-se a média de 25 dias úteis e 5 domingos/ feriados por mês.</t>
    </r>
  </si>
  <si>
    <t>Carga Horária Mensal (Divisor)</t>
  </si>
  <si>
    <t>Posto de Trabalho</t>
  </si>
  <si>
    <t>Soma POSTOS + DEMAIS ITENS DE CUSTO:</t>
  </si>
  <si>
    <t>Referências:</t>
  </si>
  <si>
    <t>Valor Pro Rata Die 
(VUM / 30)</t>
  </si>
  <si>
    <t>Percentual poderá ser reduzido na prorrogação, na hipótese de o gestor do contrato entender desnecessária a reposição do profissional em curtos períodos de ausência por doença.</t>
  </si>
  <si>
    <t>Subtotal:</t>
  </si>
  <si>
    <t>SUBMÓDULO 4 - Custo de Reposição do Profissional Ausente - 4.1. Reposição de Férias</t>
  </si>
  <si>
    <r>
      <t xml:space="preserve">Orientação de preenchimento: </t>
    </r>
    <r>
      <rPr>
        <sz val="10"/>
        <color theme="1"/>
        <rFont val="Calibri"/>
        <family val="2"/>
        <scheme val="minor"/>
      </rPr>
      <t xml:space="preserve">A licitante deverá preencher as células marcadas na cor verde. É proibido alterar as fórmulas e informações das demais células. </t>
    </r>
  </si>
  <si>
    <r>
      <t xml:space="preserve">Data da proposta: </t>
    </r>
    <r>
      <rPr>
        <sz val="10"/>
        <color theme="1"/>
        <rFont val="Calibri"/>
        <family val="2"/>
        <scheme val="minor"/>
      </rPr>
      <t>via de regra, é a data da abertura do pregão eletrônico constante no edital.</t>
    </r>
  </si>
  <si>
    <t>Laudo Médico para contratação de PcD</t>
  </si>
  <si>
    <t>CBO de Referência</t>
  </si>
  <si>
    <t>4%
ARRED((0,08*0,4*(1+(5/56)+(5/56)+((1/3)*(5/56)))*100);0)</t>
  </si>
  <si>
    <t>meses</t>
  </si>
  <si>
    <t>Prorrogável</t>
  </si>
  <si>
    <t>Esta parcela refere-se as faltas legais previstas no art 473 CLT, em que a  contratada deve providenciar sua substituição.</t>
  </si>
  <si>
    <t>Custeado Integralmente pela Previdência. Tem reflexos em férias, 13º salário e diferença salarial entre o teto da previdência e o recebido.
Art. 7º inc. XVIII, CF, Lei 8.213/91, art. 72 e Lei 11770/2008. Lei n. 13.527/2016. Art. 86 da IN RFB
971/2009.</t>
  </si>
  <si>
    <t>VALE TRANSPORTE</t>
  </si>
  <si>
    <t>Descrição</t>
  </si>
  <si>
    <r>
      <t xml:space="preserve">PIS (T) </t>
    </r>
    <r>
      <rPr>
        <sz val="10"/>
        <color rgb="FFFF0000"/>
        <rFont val="Calibri"/>
        <family val="2"/>
        <scheme val="minor"/>
      </rPr>
      <t>**</t>
    </r>
  </si>
  <si>
    <r>
      <t xml:space="preserve">COFINS (T) </t>
    </r>
    <r>
      <rPr>
        <sz val="10"/>
        <color rgb="FFFF0000"/>
        <rFont val="Calibri"/>
        <family val="2"/>
        <scheme val="minor"/>
      </rPr>
      <t>**</t>
    </r>
  </si>
  <si>
    <t>TOTAL:</t>
  </si>
  <si>
    <r>
      <t xml:space="preserve">O modelo de planilha preenchido com a Estimativa do TRE-PR tomou por base, exemplificativamente, uma empresa tributada pelo Lucro Real. </t>
    </r>
    <r>
      <rPr>
        <b/>
        <sz val="10"/>
        <color theme="6" tint="-0.499984740745262"/>
        <rFont val="Calibri"/>
        <family val="2"/>
        <scheme val="minor"/>
      </rPr>
      <t>Os licitantes deverão preencher conforme o regime de tributação a que estão submetidas</t>
    </r>
    <r>
      <rPr>
        <sz val="10"/>
        <color theme="6" tint="-0.499984740745262"/>
        <rFont val="Calibri"/>
        <family val="2"/>
        <scheme val="minor"/>
      </rPr>
      <t>.</t>
    </r>
  </si>
  <si>
    <r>
      <rPr>
        <sz val="10"/>
        <color theme="6" tint="-0.499984740745262"/>
        <rFont val="Calibri"/>
        <family val="2"/>
        <scheme val="minor"/>
      </rPr>
      <t>Alíquota Tributária</t>
    </r>
    <r>
      <rPr>
        <b/>
        <sz val="10"/>
        <color theme="6" tint="-0.499984740745262"/>
        <rFont val="Calibri"/>
        <family val="2"/>
        <scheme val="minor"/>
      </rPr>
      <t xml:space="preserve"> (TR)</t>
    </r>
    <r>
      <rPr>
        <sz val="10"/>
        <color theme="6" tint="-0.499984740745262"/>
        <rFont val="Calibri"/>
        <family val="2"/>
        <scheme val="minor"/>
      </rPr>
      <t xml:space="preserve">: 
</t>
    </r>
    <r>
      <rPr>
        <b/>
        <sz val="10"/>
        <color theme="6" tint="-0.499984740745262"/>
        <rFont val="Calibri"/>
        <family val="2"/>
        <scheme val="minor"/>
      </rPr>
      <t>ISS</t>
    </r>
    <r>
      <rPr>
        <sz val="10"/>
        <color theme="6" tint="-0.499984740745262"/>
        <rFont val="Calibri"/>
        <family val="2"/>
        <scheme val="minor"/>
      </rPr>
      <t>:  indicar conforme a alíquota do Município para o qual será devido o ISS., ou média entre os postos, quando o ISS for devido a mais de um Município.</t>
    </r>
  </si>
  <si>
    <r>
      <rPr>
        <b/>
        <sz val="10"/>
        <color rgb="FFFF0000"/>
        <rFont val="Calibri"/>
        <family val="2"/>
        <scheme val="minor"/>
      </rPr>
      <t>*</t>
    </r>
    <r>
      <rPr>
        <b/>
        <sz val="10"/>
        <color theme="6" tint="-0.499984740745262"/>
        <rFont val="Calibri"/>
        <family val="2"/>
        <scheme val="minor"/>
      </rPr>
      <t xml:space="preserve">INSS (CPRB): </t>
    </r>
    <r>
      <rPr>
        <sz val="10"/>
        <color theme="6" tint="-0.499984740745262"/>
        <rFont val="Calibri"/>
        <family val="2"/>
        <scheme val="minor"/>
      </rPr>
      <t>preencher somente se a empresa for optante pela desoneração da folha de pagamento (Lei 12546/2011; Item 6.5.1 do Acórdão nº 1212/2014-TCU).</t>
    </r>
  </si>
  <si>
    <r>
      <rPr>
        <b/>
        <sz val="10"/>
        <color rgb="FFFF0000"/>
        <rFont val="Calibri"/>
        <family val="2"/>
        <scheme val="minor"/>
      </rPr>
      <t>**</t>
    </r>
    <r>
      <rPr>
        <b/>
        <sz val="10"/>
        <color theme="9" tint="-0.499984740745262"/>
        <rFont val="Calibri"/>
        <family val="2"/>
        <scheme val="minor"/>
      </rPr>
      <t>Preenchimento apenas para empresas optantes pelos regime de LUCRO REAL:</t>
    </r>
  </si>
  <si>
    <t>ALÍQUOTAS EFETIVAS dos últimos 12 (doze) meses anteriores à apresentação da proposta</t>
  </si>
  <si>
    <t>Competência 
(mês/ano)</t>
  </si>
  <si>
    <t>Faturamento</t>
  </si>
  <si>
    <t>PIS 
(Total)</t>
  </si>
  <si>
    <t>Créditos PIS</t>
  </si>
  <si>
    <t>Alíquota Efetiva 
PIS</t>
  </si>
  <si>
    <t>COFINS 
(Total)</t>
  </si>
  <si>
    <t>Créditos COFINS</t>
  </si>
  <si>
    <t>Alíquota Efetiva
COFINS</t>
  </si>
  <si>
    <t>MÉDIA PIS:</t>
  </si>
  <si>
    <t>MÉDIA COFINS:</t>
  </si>
  <si>
    <t>HORA SUPLEMENTAR
Pagamento por ocorrência (Fato Gerador)</t>
  </si>
  <si>
    <t>CITL</t>
  </si>
  <si>
    <t>PARA PREENCHIMENTO DURANTE A EXECUÇÃO CONTRATUAL:
Para o cálculo do VTS devido ao ocupante do posto, preencha:
- a quantidade diária de passagens por ele utilizada; e
- a quantidade de dias SDF's (Sábado, Domingo ou Feriado) por ele laborados em regime de Jornada Suplementar no mês de referência para o cálculo.</t>
  </si>
  <si>
    <t>* Devidos por dia e somente nos casos de labor em Sábado, Domingo ou Feriado no regime de hora extra.</t>
  </si>
  <si>
    <r>
      <rPr>
        <b/>
        <sz val="10"/>
        <rFont val="Calibri"/>
        <family val="2"/>
        <scheme val="minor"/>
      </rPr>
      <t>Horas extra</t>
    </r>
    <r>
      <rPr>
        <sz val="10"/>
        <rFont val="Calibri"/>
        <family val="2"/>
        <scheme val="minor"/>
      </rPr>
      <t>s com caráter eventual, sem habitualidade.</t>
    </r>
  </si>
  <si>
    <t>Curitiba/PR</t>
  </si>
  <si>
    <t>Valor Máximo Estimado</t>
  </si>
  <si>
    <r>
      <t>Demais itens de custo - Estimativas máximas</t>
    </r>
    <r>
      <rPr>
        <b/>
        <vertAlign val="superscript"/>
        <sz val="11"/>
        <color theme="2" tint="-0.499984740745262"/>
        <rFont val="Calibri"/>
        <family val="2"/>
        <scheme val="minor"/>
      </rPr>
      <t>1</t>
    </r>
  </si>
  <si>
    <t>Horas Suplementares eventuais</t>
  </si>
  <si>
    <t>Resumo da Contratação</t>
  </si>
  <si>
    <t>Vigência da Contratação</t>
  </si>
  <si>
    <t>4102-05</t>
  </si>
  <si>
    <t>4141-05</t>
  </si>
  <si>
    <t>Encarregado de Almoxarifado</t>
  </si>
  <si>
    <t>Vigência:</t>
  </si>
  <si>
    <t>MONTANTE C</t>
  </si>
  <si>
    <r>
      <t xml:space="preserve">0,17%
ARRED((((1/12*5%)*100)*12)/XX;2)
Obs. 1: * 12 meses) / XX meses de vigência da contratação
</t>
    </r>
    <r>
      <rPr>
        <b/>
        <sz val="8"/>
        <rFont val="Calibri"/>
        <family val="2"/>
        <scheme val="minor"/>
      </rPr>
      <t>Obs. 2: na hipótese de haver prorrogação contratual, o percentual será zerado, uma vez que a provisão já terá sido completamente quitada.</t>
    </r>
  </si>
  <si>
    <r>
      <t xml:space="preserve">0,89%
ARRED(( ( (7/30/12*100)*12) + (0,194*(XX-12)) )/XX;2)
Obs. 1: * 12 meses + 0,194 * (XX - 12 meses) ] / XX meses de contratação. 
</t>
    </r>
    <r>
      <rPr>
        <b/>
        <sz val="8"/>
        <rFont val="Calibri"/>
        <family val="2"/>
        <scheme val="minor"/>
      </rPr>
      <t>Obs. 2: na hipótese de haver prorrogação contratual, o percentual será reduzido para 0,194, uma vez que a provisão já terá sido amortizada.</t>
    </r>
  </si>
  <si>
    <t>Esta parcela refere-se aos dias em que empregado fica doente e a contratada deve providenciar a sua substituição. O IBGE registra a estatística de 5,96 dias por ano.</t>
  </si>
  <si>
    <t>-</t>
  </si>
  <si>
    <t>VIGÊNCIA CONTRATUAL em meses</t>
  </si>
  <si>
    <t>Valor RESIDUAL %</t>
  </si>
  <si>
    <t>COEFICIENTE K</t>
  </si>
  <si>
    <t>CITL Médio</t>
  </si>
  <si>
    <t>QUANT. POSTOS</t>
  </si>
  <si>
    <t>Quant.</t>
  </si>
  <si>
    <t>Período Depreciação (Meses*)</t>
  </si>
  <si>
    <t>Valor Unitário
(Proposta)</t>
  </si>
  <si>
    <t>Depreciação Mensal</t>
  </si>
  <si>
    <t>Custo Mensal Manutenção/
Substituição</t>
  </si>
  <si>
    <t>Soma do Custo Mensal</t>
  </si>
  <si>
    <t>Soma do Custo Mensal + CITL</t>
  </si>
  <si>
    <t>Observações</t>
  </si>
  <si>
    <t>1.</t>
  </si>
  <si>
    <t>2.</t>
  </si>
  <si>
    <r>
      <t xml:space="preserve">A metodologia do cálculo do CUSTO DE UTILIZAÇÃO dos equipamentos, definida para esta contratação, se baseou na taxa de depreciação anual estabelecida pela Instrução Normativa RFB n. 1.700/2017, a qual define a vida útil das FERRAMENTAS em 5 anos, e das MÁQUINAS em 10 anos:
</t>
    </r>
    <r>
      <rPr>
        <i/>
        <sz val="10"/>
        <rFont val="Calibri"/>
        <family val="2"/>
        <scheme val="minor"/>
      </rPr>
      <t xml:space="preserve">Valor de pagamento mensal = [ </t>
    </r>
    <r>
      <rPr>
        <i/>
        <sz val="10"/>
        <color theme="9" tint="-0.499984740745262"/>
        <rFont val="Calibri"/>
        <family val="2"/>
        <scheme val="minor"/>
      </rPr>
      <t>(</t>
    </r>
    <r>
      <rPr>
        <i/>
        <sz val="10"/>
        <rFont val="Calibri"/>
        <family val="2"/>
        <scheme val="minor"/>
      </rPr>
      <t xml:space="preserve"> </t>
    </r>
    <r>
      <rPr>
        <i/>
        <sz val="10"/>
        <color theme="3" tint="-0.249977111117893"/>
        <rFont val="Calibri"/>
        <family val="2"/>
        <scheme val="minor"/>
      </rPr>
      <t>(valor inicial do insumo - valor residual)</t>
    </r>
    <r>
      <rPr>
        <i/>
        <sz val="10"/>
        <color theme="5" tint="-0.249977111117893"/>
        <rFont val="Calibri"/>
        <family val="2"/>
        <scheme val="minor"/>
      </rPr>
      <t xml:space="preserve"> / vida útil em meses de utilização</t>
    </r>
    <r>
      <rPr>
        <i/>
        <sz val="10"/>
        <rFont val="Calibri"/>
        <family val="2"/>
        <scheme val="minor"/>
      </rPr>
      <t xml:space="preserve"> </t>
    </r>
    <r>
      <rPr>
        <i/>
        <sz val="10"/>
        <color theme="5" tint="-0.249977111117893"/>
        <rFont val="Calibri"/>
        <family val="2"/>
        <scheme val="minor"/>
      </rPr>
      <t>- 60 meses de vida útil para ferramentas e 120 meses de vida útil para máquinas</t>
    </r>
    <r>
      <rPr>
        <i/>
        <sz val="10"/>
        <color theme="9" tint="-0.499984740745262"/>
        <rFont val="Calibri"/>
        <family val="2"/>
        <scheme val="minor"/>
      </rPr>
      <t xml:space="preserve"> )</t>
    </r>
    <r>
      <rPr>
        <i/>
        <sz val="10"/>
        <rFont val="Calibri"/>
        <family val="2"/>
        <scheme val="minor"/>
      </rPr>
      <t xml:space="preserve"> / número de postos ].</t>
    </r>
  </si>
  <si>
    <t>3.</t>
  </si>
  <si>
    <t xml:space="preserve">3.1 </t>
  </si>
  <si>
    <t>A CONTRATADA deverá realizar uma vistoria períodica dos EQUIPAMENTOS, para substituição, se necessário.</t>
  </si>
  <si>
    <t>4.</t>
  </si>
  <si>
    <r>
      <t xml:space="preserve">O percentual de VALOR RESIDUAL utilizado na Estimativa TRE-PR (10%) se baseou nas normas de contabilidade atualmente vigentes e aplicáveis para os equipamentos do TRE-PR. </t>
    </r>
    <r>
      <rPr>
        <b/>
        <sz val="10"/>
        <rFont val="Calibri"/>
        <family val="2"/>
        <scheme val="minor"/>
      </rPr>
      <t>A licitante poderá utilizar o percentual que melhor atende à sua realidade, inclusive 0%</t>
    </r>
    <r>
      <rPr>
        <sz val="10"/>
        <rFont val="Calibri"/>
        <family val="2"/>
        <scheme val="minor"/>
      </rPr>
      <t>.</t>
    </r>
  </si>
  <si>
    <t>5.</t>
  </si>
  <si>
    <t>Células a Preecher</t>
  </si>
  <si>
    <t>Soma Mensal por posto:</t>
  </si>
  <si>
    <t>Adicional por cumulação de função: 
Operador de Empilhadeira</t>
  </si>
  <si>
    <t>Apoio Operacional Especializado - Encarregado e Auxiliar de Almoxarifado, e Marceneiro</t>
  </si>
  <si>
    <t>AUXÍLIO ALIMENTAÇÃO</t>
  </si>
  <si>
    <t>Valor Unitário</t>
  </si>
  <si>
    <t>Valor Fixo
CITL calculado na guia respectiva</t>
  </si>
  <si>
    <r>
      <t xml:space="preserve">CITL - Custos Indiretos, Tributos e Lucros sobre A + B
</t>
    </r>
    <r>
      <rPr>
        <sz val="10"/>
        <color rgb="FF000000"/>
        <rFont val="Calibri"/>
        <family val="2"/>
        <scheme val="minor"/>
      </rPr>
      <t>(Vide guia)</t>
    </r>
  </si>
  <si>
    <t>UNIFORME</t>
  </si>
  <si>
    <t>VALOR UNITÁRIO MENSAL
(A + B + CITL + C)</t>
  </si>
  <si>
    <t>Rateio Mensal por posto</t>
  </si>
  <si>
    <t>Preço 1</t>
  </si>
  <si>
    <t>Preço 2</t>
  </si>
  <si>
    <t>Preço 3</t>
  </si>
  <si>
    <t>Preço Médio</t>
  </si>
  <si>
    <t>Custo de Manutenção/
Substituição</t>
  </si>
  <si>
    <t>Valor Unitário Final</t>
  </si>
  <si>
    <t>Valor Unitário Final + CITL</t>
  </si>
  <si>
    <t>Soma Total</t>
  </si>
  <si>
    <t>Quantidade por posto</t>
  </si>
  <si>
    <t>Valor Unitário + CITL</t>
  </si>
  <si>
    <t>Quantidade</t>
  </si>
  <si>
    <t>Pagamento por FATO GERADOR, mediante comprovação.</t>
  </si>
  <si>
    <t>Capacete com alça jugular, indicado para proteção contra impactos de objetos sobre o crânio</t>
  </si>
  <si>
    <t>Óculos para proteção contra impactos de partícula volantes e outros previstos na legislação.</t>
  </si>
  <si>
    <t>Calçado de segurança com biqueira, conforme NR-6.</t>
  </si>
  <si>
    <t>Cintos de segurança tipo pára-quedista, conforme NR 35.</t>
  </si>
  <si>
    <t>Avental de segurança impermeável em PVC para produtos químicos.</t>
  </si>
  <si>
    <t>Solicita-se atenção às características das marcas e/ou modelos referenciados, cujos aspectos de qualidade e produtividade foram aprovados pelo setor demandante e técnico, a partir de avaliação pretérita durante a fiscalização de serviços similares.</t>
  </si>
  <si>
    <t>Marceneiro</t>
  </si>
  <si>
    <t>7711-05</t>
  </si>
  <si>
    <t>Postos de Trabalho</t>
  </si>
  <si>
    <t>VALOR UNITÁRIO MENSAL</t>
  </si>
  <si>
    <t>VALOR MENSAL</t>
  </si>
  <si>
    <t>Início da Vigência</t>
  </si>
  <si>
    <t>Fim da Vigência</t>
  </si>
  <si>
    <t>Meses (cheios)</t>
  </si>
  <si>
    <t>Dias</t>
  </si>
  <si>
    <r>
      <t xml:space="preserve">CITL: </t>
    </r>
    <r>
      <rPr>
        <sz val="10"/>
        <rFont val="Calibri"/>
        <family val="2"/>
        <scheme val="minor"/>
      </rPr>
      <t>Preencher guia CITL (Custos Indiretos, Tributos e Lucros).</t>
    </r>
  </si>
  <si>
    <r>
      <t>Valor do Posto Unitário Mensal</t>
    </r>
    <r>
      <rPr>
        <sz val="10"/>
        <color rgb="FF000000"/>
        <rFont val="Calibri"/>
        <family val="2"/>
        <scheme val="minor"/>
      </rPr>
      <t xml:space="preserve"> = Montante A + Montante B + (CITL sobre A + B) + Montante C</t>
    </r>
  </si>
  <si>
    <t>Posto de MARCENEIRO</t>
  </si>
  <si>
    <t>Observação</t>
  </si>
  <si>
    <t>(campo para indicação de EPI)</t>
  </si>
  <si>
    <t>EPI's - Equipamentos de Proteção Individual para uso nos postos de ENCARREGADO e AUXILIAR DE ALMOXARIFADO:</t>
  </si>
  <si>
    <t>Custo de Manutenção</t>
  </si>
  <si>
    <t>Soma Mensal de EPI's por posto de ENCARREGADO e AUXILIAR DE ALMOXARIFADO:</t>
  </si>
  <si>
    <t>Quant. Total por Posto durante a vigência</t>
  </si>
  <si>
    <t>Quantidade Mínima por Posto</t>
  </si>
  <si>
    <t>Calça jeans azul (índigo azul)
Pré-lavado, 100% algodão, amaciado.</t>
  </si>
  <si>
    <t>Camisa, manga curta
Mínimo de 50% algodão</t>
  </si>
  <si>
    <t>Malha tipo moleton, na cor azul marinho, cinza escuro ou preto
Mínimo de 50% algodão, com a face interna flanelada.</t>
  </si>
  <si>
    <t>Jaqueta tipo japona azul marinho, cinza escuro ou preto
Japona em nylon, mangas compridas, forrada, com proteção térmica e abertura frontal com fechamento por zíper.</t>
  </si>
  <si>
    <t>(campo para indicação de uniforme)</t>
  </si>
  <si>
    <t>Soma Mensal de UNIFORMES por posto:</t>
  </si>
  <si>
    <t>EPIs</t>
  </si>
  <si>
    <t>Guia INSUMOS</t>
  </si>
  <si>
    <t>EQUIPAMENTOS</t>
  </si>
  <si>
    <t>Soma Mensal de EPI's para o posto MARCENEIRO:</t>
  </si>
  <si>
    <t>Alocação</t>
  </si>
  <si>
    <r>
      <t xml:space="preserve">Níveis Mínimos de Serviços: </t>
    </r>
    <r>
      <rPr>
        <sz val="10"/>
        <color theme="1"/>
        <rFont val="Calibri"/>
        <family val="2"/>
        <scheme val="minor"/>
      </rPr>
      <t>O pagamento poderá ser reajustado, considerando a medição mensal pela fiscalização contratual, feita a partir de critérios objetivos estabelecidos no ato convocatório.</t>
    </r>
  </si>
  <si>
    <t>Soma das 2 (duas) Notas Fiscais:</t>
  </si>
  <si>
    <t>Valor Máximo da Nota Fiscal ref. postos SECAD:</t>
  </si>
  <si>
    <t>Valor Máximo da Nota Fiscal ref. postos SECTI:</t>
  </si>
  <si>
    <t>Auxiliar de Almoxarifado</t>
  </si>
  <si>
    <t>*Se vermelho, há divergência com guia anterior.</t>
  </si>
  <si>
    <t>Laudo emitido por médido do trabalho comprobatório de compatibilidade entre a pessoa com deficiência ou mobilidade reduzida e a respectiva função, no caso de contratação.</t>
  </si>
  <si>
    <t>[Preencher com Benefício]</t>
  </si>
  <si>
    <t>Encargos</t>
  </si>
  <si>
    <t>ADICIONAL DE 50%</t>
  </si>
  <si>
    <t>ADICIONAL DE 100%</t>
  </si>
  <si>
    <t>VALOR  DA HORA SUPLEMENTAR  100%</t>
  </si>
  <si>
    <r>
      <rPr>
        <b/>
        <sz val="10"/>
        <rFont val="Calibri"/>
        <family val="2"/>
        <scheme val="minor"/>
      </rPr>
      <t xml:space="preserve">CCT FEACONSPAR/SIEMACO 232/2024, 10ª: </t>
    </r>
    <r>
      <rPr>
        <sz val="10"/>
        <rFont val="Calibri"/>
        <family val="2"/>
        <scheme val="minor"/>
      </rPr>
      <t xml:space="preserve">As duas primeiras horas extras diárias serão pagas com o adicional de 50% (cinquenta por cento) </t>
    </r>
    <r>
      <rPr>
        <b/>
        <sz val="10"/>
        <rFont val="Calibri"/>
        <family val="2"/>
        <scheme val="minor"/>
      </rPr>
      <t>e as demais com o adicional de 100% (cem por cento)</t>
    </r>
    <r>
      <rPr>
        <sz val="10"/>
        <rFont val="Calibri"/>
        <family val="2"/>
        <scheme val="minor"/>
      </rPr>
      <t>.</t>
    </r>
  </si>
  <si>
    <r>
      <t>Vale Transporte Suplementar</t>
    </r>
    <r>
      <rPr>
        <sz val="10"/>
        <rFont val="Calibri"/>
        <family val="2"/>
        <scheme val="minor"/>
      </rPr>
      <t xml:space="preserve">: Valor de 1 dia: </t>
    </r>
    <r>
      <rPr>
        <b/>
        <sz val="10"/>
        <color theme="9" tint="-0.249977111117893"/>
        <rFont val="Calibri"/>
        <family val="2"/>
        <scheme val="minor"/>
      </rPr>
      <t>[</t>
    </r>
    <r>
      <rPr>
        <sz val="10"/>
        <rFont val="Calibri"/>
        <family val="2"/>
        <scheme val="minor"/>
      </rPr>
      <t xml:space="preserve"> </t>
    </r>
    <r>
      <rPr>
        <sz val="10"/>
        <color theme="8" tint="-0.249977111117893"/>
        <rFont val="Calibri"/>
        <family val="2"/>
        <scheme val="minor"/>
      </rPr>
      <t xml:space="preserve">( Valor Diário (VT X Quant. Diária) X (21 ou 25,32 dias + </t>
    </r>
    <r>
      <rPr>
        <sz val="10"/>
        <rFont val="Calibri"/>
        <family val="2"/>
        <scheme val="minor"/>
      </rPr>
      <t>Dias SDF trabalhados no mês</t>
    </r>
    <r>
      <rPr>
        <sz val="10"/>
        <color theme="8" tint="-0.249977111117893"/>
        <rFont val="Calibri"/>
        <family val="2"/>
        <scheme val="minor"/>
      </rPr>
      <t xml:space="preserve"> ) )</t>
    </r>
    <r>
      <rPr>
        <sz val="10"/>
        <rFont val="Calibri"/>
        <family val="2"/>
        <scheme val="minor"/>
      </rPr>
      <t xml:space="preserve"> </t>
    </r>
    <r>
      <rPr>
        <sz val="10"/>
        <color theme="6" tint="-0.499984740745262"/>
        <rFont val="Calibri"/>
        <family val="2"/>
        <scheme val="minor"/>
      </rPr>
      <t>- (Valor Mensal do benefício)</t>
    </r>
    <r>
      <rPr>
        <sz val="10"/>
        <rFont val="Calibri"/>
        <family val="2"/>
        <scheme val="minor"/>
      </rPr>
      <t xml:space="preserve"> </t>
    </r>
    <r>
      <rPr>
        <sz val="10"/>
        <color theme="9" tint="-0.249977111117893"/>
        <rFont val="Calibri"/>
        <family val="2"/>
        <scheme val="minor"/>
      </rPr>
      <t>]</t>
    </r>
    <r>
      <rPr>
        <sz val="10"/>
        <rFont val="Calibri"/>
        <family val="2"/>
        <scheme val="minor"/>
      </rPr>
      <t xml:space="preserve"> / Dias SDF trabalhados no mês</t>
    </r>
  </si>
  <si>
    <t>Resumo SECAD</t>
  </si>
  <si>
    <t>Resumo SECTI</t>
  </si>
  <si>
    <t>Subitem</t>
  </si>
  <si>
    <t>20% sobre a remuneração.</t>
  </si>
  <si>
    <t>1,5% sobre a remuneração.</t>
  </si>
  <si>
    <t>0,2% sobre a remuneração.</t>
  </si>
  <si>
    <t>1% sobre a remuneração</t>
  </si>
  <si>
    <t>2,5% sobre a remuneração.</t>
  </si>
  <si>
    <t>0,6% sobre a remuneração.</t>
  </si>
  <si>
    <t>0,28%
ARRED((1/30)/12*100;2)</t>
  </si>
  <si>
    <t xml:space="preserve">0,07%
[(0,1111 x 0,02 x 0,333) x 100%] = [0,0007 x 100]
11,11% = 0,1111 (custo sobre os salários das férias integrais da gestante) - [(1+1/3)/12*100%];
0,02 = dado estatístico de que 2% de empregadas se afastam por licença maternidade;
0,3333 = 4 meses ao ano = 4/12 = período em um ano que se referem às férias proporcionais ora calculadas;
100% = Remuneração.
O valor poderá ser alterado pelo licitante, considerando estimativa própria. </t>
  </si>
  <si>
    <t>1,38%
ARRED((4,96/30)/12*100;2)</t>
  </si>
  <si>
    <t>0,03%
ARRED((((15/30)/12)*0,0078)*100;2)</t>
  </si>
  <si>
    <t>Cálculo para desconto - Profissional Ausente sem exigência de reposição</t>
  </si>
  <si>
    <t>Quantidade de dias corridos do período de posto descoberto:</t>
  </si>
  <si>
    <t>Quantidade de dias úteis do período de posto descoberto:</t>
  </si>
  <si>
    <t>Valor Diário da provisão para VT do posto de trabalho:</t>
  </si>
  <si>
    <t>Descrição do Desconto</t>
  </si>
  <si>
    <t>Valor do Desconto</t>
  </si>
  <si>
    <t>Fórmula</t>
  </si>
  <si>
    <t>Remuneração:</t>
  </si>
  <si>
    <t>Encargos Previdenciários:</t>
  </si>
  <si>
    <t>Vale Alimentação:</t>
  </si>
  <si>
    <t>Vale Transporte:</t>
  </si>
  <si>
    <t>ARRED(C13*C15;2)</t>
  </si>
  <si>
    <t>Soma:</t>
  </si>
  <si>
    <t>CITL:</t>
  </si>
  <si>
    <t>Valor da Glosa:</t>
  </si>
  <si>
    <t>ARRED(C30*C32;2)</t>
  </si>
  <si>
    <t>ARRED(C47*C49;2)</t>
  </si>
  <si>
    <t>ARRED('DADOS CADASTRAIS e POSTOS'!K22/21;8)</t>
  </si>
  <si>
    <t>ARRED(('DADOS CADASTRAIS e POSTOS'!G22/30)*C12;2)</t>
  </si>
  <si>
    <t>ARRED('DADOS CADASTRAIS e POSTOS'!K23/21;8)</t>
  </si>
  <si>
    <t>ARRED(C30*('DADOS CADASTRAIS e POSTOS'!J23/21);2)</t>
  </si>
  <si>
    <t>ARRED('DADOS CADASTRAIS e POSTOS'!K24/21;8)</t>
  </si>
  <si>
    <t>ARRED(('DADOS CADASTRAIS e POSTOS'!G24/30)*C46;2)</t>
  </si>
  <si>
    <t>ARRED(C52*'ENCARGOS e PROVISOES'!F23/100;2)</t>
  </si>
  <si>
    <t>ARRED(C47*('DADOS CADASTRAIS e POSTOS'!J24/22);2)</t>
  </si>
  <si>
    <t>ARRED(C35*'ENCARGOS e PROVISOES'!F23/100;2)</t>
  </si>
  <si>
    <t>ARRED(C18*'ENCARGOS e PROVISOES'!F23/100;2)</t>
  </si>
  <si>
    <t>ARRED(C13*('DADOS CADASTRAIS e POSTOS'!J22/21);2)</t>
  </si>
  <si>
    <t>ARRED(('DADOS CADASTRAIS e POSTOS'!G23/30)*C29;2)</t>
  </si>
  <si>
    <t>ARRED(C39*CITL!F17;2)</t>
  </si>
  <si>
    <t>ARRED(C22*CITL!F17;2)</t>
  </si>
  <si>
    <t>ARRED(C56*CITL!F17;2)</t>
  </si>
  <si>
    <t>PLANILHA AUXILIAR - DISPONIBILIZAÇÃO DE EQUIPAMENTOS</t>
  </si>
  <si>
    <t>PLANILHA AUXILIAR - FORNECIMENTO DE INSUMOS</t>
  </si>
  <si>
    <t>1. A utilização dos equipamentos disponibilizadas será paga pela fração de sua depreciação, uma vez que ao final do contrato eles verterão à contratada (vide campo Observações, no final).</t>
  </si>
  <si>
    <t>2. O custo total estimado (utilização + manutenção) dos equipamentos será rateado mensalmente entre os postos para os quais serão disponibilizados.</t>
  </si>
  <si>
    <t>Jogo de brocas e pontas para Furadeira</t>
  </si>
  <si>
    <t>Parafusadeira a bateria, para uso frequente, com led para ambientes escuros, cabo de alimentação bivolt, ergonômica. Marca/modelo de referência: Vonder PFV 012; Bosch Professional GSR 1000 Smart.</t>
  </si>
  <si>
    <t>1. Leroy Merlyn; 2. San Rafael Fechaduras; 3. Nichele.</t>
  </si>
  <si>
    <t>1. Ferramentas Kennedy; 2. Nichele; 3. Leroy Merlin.</t>
  </si>
  <si>
    <t>1. Banco de Preços; 2. Leroy Merlin; 3. Loja do Mecânico.</t>
  </si>
  <si>
    <t>1. Ferramentas Kennedy; 2. Loja do Mecânico; 3. Loja da Usinagem</t>
  </si>
  <si>
    <t>Broca em Aço - 3mm</t>
  </si>
  <si>
    <t>Furadeira de Impacto, com fio, 127w. Marca/modelo de referência: Bosch GSB 450.</t>
  </si>
  <si>
    <t>Instrumento Coletivo de Trabalho:</t>
  </si>
  <si>
    <r>
      <rPr>
        <b/>
        <sz val="10"/>
        <rFont val="Calibri"/>
        <family val="2"/>
        <scheme val="minor"/>
      </rPr>
      <t>Adicional Noturno</t>
    </r>
    <r>
      <rPr>
        <sz val="10"/>
        <rFont val="Calibri"/>
        <family val="2"/>
        <scheme val="minor"/>
      </rPr>
      <t>: CCT 2024, 9ª, 20% sobre a hora reduzida de 60 min, das 22h às 5h, não se prorrogando, mesmo que a saída do Empregado se dê em horário posterior.</t>
    </r>
    <r>
      <rPr>
        <sz val="10"/>
        <color theme="5" tint="-0.499984740745262"/>
        <rFont val="Calibri"/>
        <family val="2"/>
        <scheme val="minor"/>
      </rPr>
      <t xml:space="preserve"> [</t>
    </r>
    <r>
      <rPr>
        <sz val="10"/>
        <color theme="3" tint="0.39997558519241921"/>
        <rFont val="Calibri"/>
        <family val="2"/>
        <scheme val="minor"/>
      </rPr>
      <t>(</t>
    </r>
    <r>
      <rPr>
        <sz val="10"/>
        <color rgb="FF00B050"/>
        <rFont val="Calibri"/>
        <family val="2"/>
        <scheme val="minor"/>
      </rPr>
      <t>(</t>
    </r>
    <r>
      <rPr>
        <sz val="10"/>
        <color theme="5" tint="-0.499984740745262"/>
        <rFont val="Calibri"/>
        <family val="2"/>
        <scheme val="minor"/>
      </rPr>
      <t>Remun. / (Carga Horária Semanal * 5)</t>
    </r>
    <r>
      <rPr>
        <sz val="10"/>
        <color rgb="FF00B050"/>
        <rFont val="Calibri"/>
        <family val="2"/>
        <scheme val="minor"/>
      </rPr>
      <t>)</t>
    </r>
    <r>
      <rPr>
        <sz val="10"/>
        <color rgb="FFFF0000"/>
        <rFont val="Calibri"/>
        <family val="2"/>
        <scheme val="minor"/>
      </rPr>
      <t xml:space="preserve"> </t>
    </r>
    <r>
      <rPr>
        <sz val="10"/>
        <color theme="5" tint="-0.499984740745262"/>
        <rFont val="Calibri"/>
        <family val="2"/>
        <scheme val="minor"/>
      </rPr>
      <t>* 20% de AdNt</t>
    </r>
    <r>
      <rPr>
        <sz val="10"/>
        <color theme="3" tint="0.39997558519241921"/>
        <rFont val="Calibri"/>
        <family val="2"/>
        <scheme val="minor"/>
      </rPr>
      <t xml:space="preserve">) </t>
    </r>
    <r>
      <rPr>
        <sz val="10"/>
        <color theme="5" tint="-0.499984740745262"/>
        <rFont val="Calibri"/>
        <family val="2"/>
        <scheme val="minor"/>
      </rPr>
      <t>* Acrésc. 50% ou 100%]</t>
    </r>
  </si>
  <si>
    <t>Valor Diário</t>
  </si>
  <si>
    <t>Desconto PAT (%)</t>
  </si>
  <si>
    <r>
      <t>Vale Alimentação:</t>
    </r>
    <r>
      <rPr>
        <sz val="10"/>
        <color indexed="8"/>
        <rFont val="Calibri"/>
        <family val="2"/>
        <scheme val="minor"/>
      </rPr>
      <t xml:space="preserve">  CCT 2024, 13ª (Valor diário).</t>
    </r>
  </si>
  <si>
    <r>
      <t xml:space="preserve">Vale Alimentação nas Férias - prêmio assiduidade: </t>
    </r>
    <r>
      <rPr>
        <sz val="10"/>
        <color indexed="8"/>
        <rFont val="Calibri"/>
        <family val="2"/>
        <scheme val="minor"/>
      </rPr>
      <t>CCT 2024, 13ª, §4º</t>
    </r>
    <r>
      <rPr>
        <b/>
        <sz val="10"/>
        <color theme="8" tint="-0.249977111117893"/>
        <rFont val="Calibri"/>
        <family val="2"/>
        <scheme val="minor"/>
      </rPr>
      <t xml:space="preserve"> </t>
    </r>
    <r>
      <rPr>
        <sz val="10"/>
        <color theme="8" tint="-0.249977111117893"/>
        <rFont val="Calibri"/>
        <family val="2"/>
        <scheme val="minor"/>
      </rPr>
      <t>[ Valor Mensal prêmio para a faixa de 1 a 3 faltas ao serviço (-10%) - % de Desconto PAT ] / 12 meses</t>
    </r>
  </si>
  <si>
    <t>8,33%
ARRED( (1/12) X 100;2)</t>
  </si>
  <si>
    <t>1. Eletrorastro (Tramontina) 10 peças; 2. F. Kennedy (Worker) 8 peças; 3. Ismaefer.</t>
  </si>
  <si>
    <t>Jogo de 8 a 10 (oito a dez) soquetes magnéticos sextavados para a Parafusadeira</t>
  </si>
  <si>
    <t>Serra Tico Tico 127w, pendular, com guia laser, mínimo 800w, capacidade de corte em madeira: 100 mm, duplo isolamento. Marca e modelo de referência: GAMMA G1942_BR</t>
  </si>
  <si>
    <t>1. DD Máquinas; 2. Loja da Ferramenta; 3. Palácio das Ferramentas</t>
  </si>
  <si>
    <t>Insumos de Marcenaria</t>
  </si>
  <si>
    <r>
      <t>Vale Transporte:</t>
    </r>
    <r>
      <rPr>
        <b/>
        <sz val="10"/>
        <color rgb="FF31831B"/>
        <rFont val="Calibri"/>
        <family val="2"/>
        <scheme val="minor"/>
      </rPr>
      <t xml:space="preserve"> </t>
    </r>
    <r>
      <rPr>
        <sz val="10"/>
        <color rgb="FF31831B"/>
        <rFont val="Calibri"/>
        <family val="2"/>
        <scheme val="minor"/>
      </rPr>
      <t xml:space="preserve">{ [ V.T. X ( Quant. Diária  X </t>
    </r>
    <r>
      <rPr>
        <b/>
        <sz val="10"/>
        <color rgb="FF31831B"/>
        <rFont val="Calibri"/>
        <family val="2"/>
        <scheme val="minor"/>
      </rPr>
      <t>25,32</t>
    </r>
    <r>
      <rPr>
        <sz val="10"/>
        <color rgb="FF31831B"/>
        <rFont val="Calibri"/>
        <family val="2"/>
        <scheme val="minor"/>
      </rPr>
      <t xml:space="preserve"> ) ] - 6% do salário básico, excluído o adicional }</t>
    </r>
    <r>
      <rPr>
        <sz val="10"/>
        <color theme="1"/>
        <rFont val="Calibri"/>
        <family val="2"/>
        <scheme val="minor"/>
      </rPr>
      <t xml:space="preserve">. Obs.: Valor mínimo: 0 (zero). </t>
    </r>
  </si>
  <si>
    <r>
      <t>Dias úteis trabalhados = média de 21 dias:</t>
    </r>
    <r>
      <rPr>
        <sz val="10"/>
        <color rgb="FF00B0F0"/>
        <rFont val="Calibri"/>
        <family val="2"/>
        <scheme val="minor"/>
      </rPr>
      <t xml:space="preserve"> </t>
    </r>
    <r>
      <rPr>
        <sz val="10"/>
        <color theme="8" tint="-0.249977111117893"/>
        <rFont val="Calibri"/>
        <family val="2"/>
        <scheme val="minor"/>
      </rPr>
      <t>[</t>
    </r>
    <r>
      <rPr>
        <sz val="10"/>
        <color rgb="FF31859B"/>
        <rFont val="Calibri"/>
        <family val="2"/>
        <scheme val="minor"/>
      </rPr>
      <t xml:space="preserve"> ( 365 / 7 ) X 5 - 9 ] / 12 = 20,98 </t>
    </r>
    <r>
      <rPr>
        <sz val="10"/>
        <color theme="1"/>
        <rFont val="Calibri"/>
        <family val="2"/>
        <scheme val="minor"/>
      </rPr>
      <t xml:space="preserve">(Acórdão TCU nº 1904/07 Plenário). </t>
    </r>
    <r>
      <rPr>
        <sz val="10"/>
        <color rgb="FF31831B"/>
        <rFont val="Calibri"/>
        <family val="2"/>
        <scheme val="minor"/>
      </rPr>
      <t xml:space="preserve">Para fins de VT: </t>
    </r>
    <r>
      <rPr>
        <b/>
        <sz val="10"/>
        <color rgb="FF31831B"/>
        <rFont val="Calibri"/>
        <family val="2"/>
        <scheme val="minor"/>
      </rPr>
      <t>média 25,32 dia</t>
    </r>
    <r>
      <rPr>
        <sz val="10"/>
        <color rgb="FF31831B"/>
        <rFont val="Calibri"/>
        <family val="2"/>
        <scheme val="minor"/>
      </rPr>
      <t>s, considerando o cumprimento de jornada aos sábados.</t>
    </r>
  </si>
  <si>
    <t>Arco de serra de aço aproximadamente 12". Marca de referência: Tramontina.</t>
  </si>
  <si>
    <t>1. Banco de Preços; 2. Super Pro.</t>
  </si>
  <si>
    <t>Jogo de Chaves de Fenda e Philips, de aço vanádio, com no mínimo 10 peças de 6 a 17mm.</t>
  </si>
  <si>
    <t>Chave de Grifo</t>
  </si>
  <si>
    <t>1. Ferramentas Kennedy; 2. Super Pro; 3. Agreli</t>
  </si>
  <si>
    <t>Jogo de lâminas para Serra Tico Tico, universal, mínimo 5 peças.</t>
  </si>
  <si>
    <t>Martelo de cabo de fibra emborrachado - 25 cm.</t>
  </si>
  <si>
    <t>Alicate de Pressão.</t>
  </si>
  <si>
    <t>Alicate Rebitadeira, manual, 10".</t>
  </si>
  <si>
    <t>Alicate de Corte, platô 170, com cabo isolante.</t>
  </si>
  <si>
    <t>1. Universo do Lar; 2. FG Ferramentas Gerais</t>
  </si>
  <si>
    <t>Serrote 16", mínimo 7 dentes por polegada, lâmina de aço carbono, cabo ergonômico de madeira ou emborrachado. Marcas de referência: Tramontina e Stanley.</t>
  </si>
  <si>
    <t>Trena de 10m, largura 25mm, emborrachada ou reforçada, com trava</t>
  </si>
  <si>
    <t>1. Dutra Máquinas (Vonder); 2. Loja do Mecânico (Sparte); 3. LF (Starret)</t>
  </si>
  <si>
    <t>Alicate Universal em aço, 8", com cabo isolante.</t>
  </si>
  <si>
    <t>1. Loja Solar; 2. Ferramentas Kennedy; 3. Copafer</t>
  </si>
  <si>
    <t>1. Ferramentas Kennedy; 2. Loja do Mecânico; 3. Super Pro</t>
  </si>
  <si>
    <t>1. Ferramentas Kennedy; 2. Loja do Mecânico; 3. Carrefour</t>
  </si>
  <si>
    <t>1. Eletrogate; 2. Smartkits; 3. Ferramentas Kennedy</t>
  </si>
  <si>
    <t>1. Ferramentas Kennedy; 2. Loja do Mecânico; 3. Casa do Soldador.</t>
  </si>
  <si>
    <t>1. Banco de Preços; 2. Loja do Mecânico; 3. Abrasmafe.</t>
  </si>
  <si>
    <t>Bolsa de lona, grande, para ferramentas, com alças</t>
  </si>
  <si>
    <t>1. Banco de Preços; 2. Loja do Mecânico; 3. Palácio das Ferramentas.</t>
  </si>
  <si>
    <t>1 e 2. Banco de preços</t>
  </si>
  <si>
    <t>1. Leroy Merlin; 2. Gracinda; 3. Inbox</t>
  </si>
  <si>
    <t>Óleo de Peroba Tradicional 500 ml. Marca de referência: King.</t>
  </si>
  <si>
    <t>Cola Branca PVA, 1kg. Marca/Modelo de referência: Cascola/Cascorez</t>
  </si>
  <si>
    <t>1. Banco de Preços; 2. F. Kennedy; 3. Bigolin.</t>
  </si>
  <si>
    <t>1. Tudo na mão; 2. Pinta risco; 3. Rudegon</t>
  </si>
  <si>
    <t>Verniz multiuso em spray, protetor, 350ml.</t>
  </si>
  <si>
    <t>1. F. Kennedy; 2. Carrefour/Copafer; 3. Leroy M/GTN Shop</t>
  </si>
  <si>
    <t>Banco de Preços</t>
  </si>
  <si>
    <t>14148/2023</t>
  </si>
  <si>
    <r>
      <rPr>
        <vertAlign val="superscript"/>
        <sz val="10"/>
        <color theme="7" tint="0.39997558519241921"/>
        <rFont val="Calibri"/>
        <family val="2"/>
        <scheme val="minor"/>
      </rPr>
      <t>1</t>
    </r>
    <r>
      <rPr>
        <sz val="10"/>
        <color theme="7" tint="0.39997558519241921"/>
        <rFont val="Calibri"/>
        <family val="2"/>
        <scheme val="minor"/>
      </rPr>
      <t xml:space="preserve"> Conforme o estabelecido na cláusula 4ª do edital, esses custos estimativos NÃO DEVERÃO INTEGRAR O VALOR DA PROPOSTA e, portanto, não farão parte do critério de julgamento.</t>
    </r>
  </si>
  <si>
    <r>
      <t xml:space="preserve">Salário: </t>
    </r>
    <r>
      <rPr>
        <sz val="10"/>
        <rFont val="Calibri"/>
        <family val="2"/>
        <scheme val="minor"/>
      </rPr>
      <t>Piso salarial fixado no Termo de Referência da contratação.
O salário de Encarregado de Almoxarifado corresponde ao valor do piso salarial da CCT balizadora para o cargo de Encarregado acrescido de 40,2555%.
O salário de Auxiliar de Almoxarifado corresponde ao valor do piso salarial da CCT balizadora para o cargo de Almoxarife acrescido de 29,86%.
O salário de Marceneiro corresponde ao valor do piso salarial da CCT balizadora para o cargo de Marceneiro, acrescido de 10,857%..</t>
    </r>
  </si>
  <si>
    <t>Conforme previsto no Termo de Referência da contratação, deverá ser emitida uma Nota Fiscal por Secretaria.</t>
  </si>
  <si>
    <t>(campo para indicação de insumo)</t>
  </si>
  <si>
    <t>(campo para indicação de equipamento)</t>
  </si>
  <si>
    <t>O custo dos equipamentos será reajustado anualmente, tendo por critério o índice contratual.</t>
  </si>
  <si>
    <t>Os insumos serão reajustados anualmente, tendo por critério o índice contratual.</t>
  </si>
  <si>
    <r>
      <t xml:space="preserve">A estimativa de Coeficiente K para o CUSTO DE MANUTENÇÃO/SUBSTITUIÇÃO dos equipamentos </t>
    </r>
    <r>
      <rPr>
        <i/>
        <sz val="10"/>
        <rFont val="Calibri"/>
        <family val="2"/>
        <scheme val="minor"/>
      </rPr>
      <t>(</t>
    </r>
    <r>
      <rPr>
        <b/>
        <i/>
        <sz val="10"/>
        <rFont val="Calibri"/>
        <family val="2"/>
        <scheme val="minor"/>
      </rPr>
      <t>percentual máximo</t>
    </r>
    <r>
      <rPr>
        <i/>
        <sz val="10"/>
        <rFont val="Calibri"/>
        <family val="2"/>
        <scheme val="minor"/>
      </rPr>
      <t xml:space="preserve"> de 0,5% a.m., que corresponde ao fator 0,005)</t>
    </r>
    <r>
      <rPr>
        <sz val="10"/>
        <rFont val="Calibri"/>
        <family val="2"/>
        <scheme val="minor"/>
      </rPr>
      <t xml:space="preserve"> baseou-se no coeficiente de 6x10</t>
    </r>
    <r>
      <rPr>
        <vertAlign val="superscript"/>
        <sz val="10"/>
        <rFont val="Calibri"/>
        <family val="2"/>
        <scheme val="minor"/>
      </rPr>
      <t>-5</t>
    </r>
    <r>
      <rPr>
        <sz val="10"/>
        <rFont val="Calibri"/>
        <family val="2"/>
        <scheme val="minor"/>
      </rPr>
      <t xml:space="preserve">, com base no TCPO (Ed. Pini) para equipamentos de pequeno porte.
</t>
    </r>
  </si>
  <si>
    <r>
      <t xml:space="preserve">0,03%
[ ( (20 / 30) / 12 ) X 0,015 = 0,08% ] * 18  +  </t>
    </r>
    <r>
      <rPr>
        <sz val="8"/>
        <color rgb="FF000000"/>
        <rFont val="Calibri"/>
        <family val="2"/>
        <scheme val="minor"/>
      </rPr>
      <t xml:space="preserve">
[ ( (5 / 30) / 12 ) X 0,015 = 0,08% ] * 82</t>
    </r>
  </si>
  <si>
    <t>INSUMOS</t>
  </si>
  <si>
    <t>EPI's - Equipamentos de Proteção Individual - POR POSTO</t>
  </si>
  <si>
    <r>
      <t>Total de fornecimentos
(</t>
    </r>
    <r>
      <rPr>
        <sz val="10"/>
        <color theme="0"/>
        <rFont val="Calibri"/>
        <family val="2"/>
        <scheme val="minor"/>
      </rPr>
      <t>Vigência/
Periodicidade)</t>
    </r>
  </si>
  <si>
    <t>Periodicidade de entrega
 (a cada quantos meses)</t>
  </si>
  <si>
    <t>Uniformes - POR POSTO</t>
  </si>
  <si>
    <t>Custo Mensal 
por Posto</t>
  </si>
  <si>
    <t>*Este item não compõe critério de julgamento.</t>
  </si>
  <si>
    <t>Luvas antiderrapantes para proteção das mãos (par).</t>
  </si>
  <si>
    <t>Giz/Bastão corretivo de uso profissional para móveis (unidade).</t>
  </si>
  <si>
    <t>Luva de borracha sintética para proteção de produtos químicos (par).</t>
  </si>
  <si>
    <r>
      <t>PLANILHA DE FORMAÇÃO DE CUSTOS E PREÇOS -</t>
    </r>
    <r>
      <rPr>
        <sz val="16"/>
        <color rgb="FFC00000"/>
        <rFont val="Calibri"/>
        <family val="2"/>
        <scheme val="minor"/>
      </rPr>
      <t xml:space="preserve"> </t>
    </r>
    <r>
      <rPr>
        <b/>
        <sz val="16"/>
        <color rgb="FFC00000"/>
        <rFont val="Calibri"/>
        <family val="2"/>
        <scheme val="minor"/>
      </rPr>
      <t>Proposta Detalhada</t>
    </r>
  </si>
  <si>
    <t>ENDEREÇO COMPLETO com CEP:</t>
  </si>
  <si>
    <t>TELEFONE e EMAIL:</t>
  </si>
  <si>
    <t>DADOS BANCÁRIOS (Banco, Agência e Conta Corrente):</t>
  </si>
  <si>
    <t>NOME e CPF do REPRESENTANTE LEGAL (que assinará o contrato):</t>
  </si>
  <si>
    <t>A</t>
  </si>
  <si>
    <t>AUXÍLIO ASSIDUIDADE - BENEFÍCIO PREVISTO EM CCT</t>
  </si>
  <si>
    <t>Vale-alimentação pago no gozo das férias, de acordo com a ocorrência de faltas, justificadas ou não;</t>
  </si>
  <si>
    <t>Pago de acordo com a ocorrência do fato gerador.</t>
  </si>
  <si>
    <t>SITUAÇÃO</t>
  </si>
  <si>
    <t>VALOR DO VALE-ALIMENTAÇÃO</t>
  </si>
  <si>
    <t>DESCONTO DO PAT</t>
  </si>
  <si>
    <t>CITL - CUSTOS</t>
  </si>
  <si>
    <t>VALOR DEVIDO</t>
  </si>
  <si>
    <t>Nenhuma falta</t>
  </si>
  <si>
    <t>De 01 a 03 faltas</t>
  </si>
  <si>
    <t>De 04 a 05 faltas</t>
  </si>
  <si>
    <t>06 ou mais faltas</t>
  </si>
  <si>
    <r>
      <rPr>
        <b/>
        <sz val="10"/>
        <rFont val="Calibri"/>
        <family val="2"/>
        <scheme val="minor"/>
      </rPr>
      <t>Auxílio Assiduidade</t>
    </r>
    <r>
      <rPr>
        <sz val="10"/>
        <rFont val="Calibri"/>
        <family val="2"/>
        <scheme val="minor"/>
      </rPr>
      <t xml:space="preserve"> com caráter eventual</t>
    </r>
  </si>
</sst>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4" formatCode="_-&quot;R$&quot;\ * #,##0.00_-;\-&quot;R$&quot;\ * #,##0.00_-;_-&quot;R$&quot;\ * &quot;-&quot;??_-;_-@_-"/>
    <numFmt numFmtId="164" formatCode="_(&quot;R$&quot;* #,##0.00_);_(&quot;R$&quot;* \(#,##0.00\);_(&quot;R$&quot;* &quot;-&quot;??_);_(@_)"/>
    <numFmt numFmtId="165" formatCode="0.00;[Red]0.00"/>
    <numFmt numFmtId="166" formatCode="&quot;R$&quot;\ #,##0.00"/>
    <numFmt numFmtId="167" formatCode="#,##0_ ;[Red]\-#,##0\ "/>
    <numFmt numFmtId="168" formatCode="0.0000"/>
    <numFmt numFmtId="169" formatCode="0.0000%"/>
    <numFmt numFmtId="170" formatCode="_-[$R$-416]\ * #,##0.00_-;\-[$R$-416]\ * #,##0.00_-;_-[$R$-416]\ * &quot;-&quot;??_-;_-@_-"/>
    <numFmt numFmtId="171" formatCode="0.0000;[Red]0.0000"/>
    <numFmt numFmtId="172" formatCode="#,##0.0000"/>
    <numFmt numFmtId="173" formatCode="dd/mm/yy;@"/>
    <numFmt numFmtId="174" formatCode="_(&quot;R$&quot;* #,##0.00_);_(&quot;R$&quot;* \(#,##0.00\);_(&quot;R$&quot;* \-??_);_(@_)"/>
    <numFmt numFmtId="175" formatCode="0.000"/>
    <numFmt numFmtId="176" formatCode="0.00000000"/>
    <numFmt numFmtId="177" formatCode="&quot;R$ &quot;#,##0.00"/>
    <numFmt numFmtId="178" formatCode="0.00000%"/>
  </numFmts>
  <fonts count="122"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11"/>
      <color theme="1"/>
      <name val="Garamond"/>
      <family val="1"/>
    </font>
    <font>
      <b/>
      <sz val="13"/>
      <color theme="3"/>
      <name val="Calibri"/>
      <family val="2"/>
      <scheme val="minor"/>
    </font>
    <font>
      <b/>
      <sz val="11"/>
      <color theme="3"/>
      <name val="Calibri"/>
      <family val="2"/>
      <scheme val="minor"/>
    </font>
    <font>
      <b/>
      <sz val="12"/>
      <color theme="1"/>
      <name val="Calibri"/>
      <family val="2"/>
      <scheme val="minor"/>
    </font>
    <font>
      <sz val="10"/>
      <color theme="1"/>
      <name val="Calibri"/>
      <family val="2"/>
      <scheme val="minor"/>
    </font>
    <font>
      <b/>
      <sz val="12"/>
      <name val="Calibri"/>
      <family val="2"/>
      <scheme val="minor"/>
    </font>
    <font>
      <sz val="10"/>
      <name val="Calibri"/>
      <family val="2"/>
      <scheme val="minor"/>
    </font>
    <font>
      <b/>
      <sz val="10"/>
      <name val="Calibri"/>
      <family val="2"/>
      <scheme val="minor"/>
    </font>
    <font>
      <b/>
      <sz val="10"/>
      <color rgb="FF44546A"/>
      <name val="Calibri"/>
      <family val="2"/>
      <scheme val="minor"/>
    </font>
    <font>
      <b/>
      <sz val="9"/>
      <color rgb="FF808080"/>
      <name val="Calibri"/>
      <family val="2"/>
      <scheme val="minor"/>
    </font>
    <font>
      <b/>
      <sz val="10"/>
      <color rgb="FF808080"/>
      <name val="Calibri"/>
      <family val="2"/>
      <scheme val="minor"/>
    </font>
    <font>
      <sz val="8"/>
      <name val="Calibri"/>
      <family val="2"/>
      <scheme val="minor"/>
    </font>
    <font>
      <b/>
      <sz val="13"/>
      <color rgb="FF44546A"/>
      <name val="Calibri"/>
      <family val="2"/>
      <scheme val="minor"/>
    </font>
    <font>
      <sz val="10"/>
      <color rgb="FF000000"/>
      <name val="Calibri"/>
      <family val="2"/>
      <scheme val="minor"/>
    </font>
    <font>
      <sz val="8"/>
      <color rgb="FF000000"/>
      <name val="Calibri"/>
      <family val="2"/>
      <scheme val="minor"/>
    </font>
    <font>
      <b/>
      <sz val="8"/>
      <color rgb="FF000000"/>
      <name val="Calibri"/>
      <family val="2"/>
      <scheme val="minor"/>
    </font>
    <font>
      <b/>
      <sz val="9"/>
      <name val="Calibri"/>
      <family val="2"/>
      <scheme val="minor"/>
    </font>
    <font>
      <b/>
      <sz val="10"/>
      <color rgb="FF000000"/>
      <name val="Calibri"/>
      <family val="2"/>
      <scheme val="minor"/>
    </font>
    <font>
      <b/>
      <sz val="8"/>
      <name val="Calibri"/>
      <family val="2"/>
      <scheme val="minor"/>
    </font>
    <font>
      <b/>
      <sz val="9"/>
      <color rgb="FF833C0C"/>
      <name val="Calibri"/>
      <family val="2"/>
      <scheme val="minor"/>
    </font>
    <font>
      <b/>
      <sz val="10"/>
      <color rgb="FFC65911"/>
      <name val="Calibri"/>
      <family val="2"/>
      <scheme val="minor"/>
    </font>
    <font>
      <sz val="11"/>
      <color rgb="FF000000"/>
      <name val="Calibri"/>
      <family val="2"/>
      <scheme val="minor"/>
    </font>
    <font>
      <b/>
      <sz val="9"/>
      <color rgb="FF000000"/>
      <name val="Calibri"/>
      <family val="2"/>
      <scheme val="minor"/>
    </font>
    <font>
      <sz val="9"/>
      <name val="Calibri"/>
      <family val="2"/>
      <scheme val="minor"/>
    </font>
    <font>
      <b/>
      <sz val="10"/>
      <color theme="1"/>
      <name val="Calibri"/>
      <family val="2"/>
      <scheme val="minor"/>
    </font>
    <font>
      <sz val="9"/>
      <color theme="1"/>
      <name val="Calibri"/>
      <family val="2"/>
      <scheme val="minor"/>
    </font>
    <font>
      <b/>
      <sz val="12"/>
      <color theme="6" tint="-0.499984740745262"/>
      <name val="Calibri"/>
      <family val="2"/>
      <scheme val="minor"/>
    </font>
    <font>
      <b/>
      <sz val="10"/>
      <color theme="0"/>
      <name val="Calibri"/>
      <family val="2"/>
      <scheme val="minor"/>
    </font>
    <font>
      <sz val="12"/>
      <name val="Calibri"/>
      <family val="2"/>
      <scheme val="minor"/>
    </font>
    <font>
      <sz val="10"/>
      <color rgb="FFFF0000"/>
      <name val="Calibri"/>
      <family val="2"/>
      <scheme val="minor"/>
    </font>
    <font>
      <b/>
      <sz val="10"/>
      <color rgb="FF4F6128"/>
      <name val="Calibri"/>
      <family val="2"/>
      <scheme val="minor"/>
    </font>
    <font>
      <b/>
      <sz val="10"/>
      <color rgb="FF0070C0"/>
      <name val="Calibri"/>
      <family val="2"/>
      <scheme val="minor"/>
    </font>
    <font>
      <sz val="10"/>
      <color rgb="FF0070C0"/>
      <name val="Calibri"/>
      <family val="2"/>
      <scheme val="minor"/>
    </font>
    <font>
      <b/>
      <i/>
      <sz val="10"/>
      <color rgb="FFFF0000"/>
      <name val="Calibri"/>
      <family val="2"/>
      <scheme val="minor"/>
    </font>
    <font>
      <b/>
      <sz val="10"/>
      <color theme="6" tint="-0.499984740745262"/>
      <name val="Calibri"/>
      <family val="2"/>
      <scheme val="minor"/>
    </font>
    <font>
      <sz val="10"/>
      <color theme="6" tint="-0.499984740745262"/>
      <name val="Calibri"/>
      <family val="2"/>
      <scheme val="minor"/>
    </font>
    <font>
      <sz val="10"/>
      <color rgb="FF31859B"/>
      <name val="Calibri"/>
      <family val="2"/>
      <scheme val="minor"/>
    </font>
    <font>
      <sz val="14"/>
      <name val="Calibri"/>
      <family val="2"/>
      <scheme val="minor"/>
    </font>
    <font>
      <sz val="9"/>
      <color rgb="FF000000"/>
      <name val="Calibri"/>
      <family val="2"/>
      <scheme val="minor"/>
    </font>
    <font>
      <b/>
      <sz val="11"/>
      <color rgb="FF000000"/>
      <name val="Calibri"/>
      <family val="2"/>
      <scheme val="minor"/>
    </font>
    <font>
      <sz val="12"/>
      <color rgb="FFC00000"/>
      <name val="Calibri"/>
      <family val="2"/>
      <scheme val="minor"/>
    </font>
    <font>
      <b/>
      <sz val="13"/>
      <color rgb="FF4F6128"/>
      <name val="Calibri"/>
      <family val="2"/>
      <scheme val="minor"/>
    </font>
    <font>
      <i/>
      <sz val="10"/>
      <color theme="1"/>
      <name val="Calibri"/>
      <family val="2"/>
      <scheme val="minor"/>
    </font>
    <font>
      <b/>
      <sz val="11"/>
      <name val="Calibri"/>
      <family val="2"/>
      <scheme val="minor"/>
    </font>
    <font>
      <b/>
      <sz val="14"/>
      <name val="Calibri"/>
      <family val="2"/>
      <scheme val="minor"/>
    </font>
    <font>
      <b/>
      <sz val="12"/>
      <color rgb="FF595959"/>
      <name val="Calibri"/>
      <family val="2"/>
      <scheme val="minor"/>
    </font>
    <font>
      <b/>
      <sz val="10"/>
      <color theme="1" tint="0.34998626667073579"/>
      <name val="Calibri"/>
      <family val="2"/>
      <scheme val="minor"/>
    </font>
    <font>
      <b/>
      <sz val="12"/>
      <color theme="4" tint="-0.249977111117893"/>
      <name val="Calibri"/>
      <family val="2"/>
      <scheme val="minor"/>
    </font>
    <font>
      <sz val="10"/>
      <color theme="5" tint="-0.499984740745262"/>
      <name val="Calibri"/>
      <family val="2"/>
      <scheme val="minor"/>
    </font>
    <font>
      <sz val="10"/>
      <color theme="3" tint="0.39997558519241921"/>
      <name val="Calibri"/>
      <family val="2"/>
      <scheme val="minor"/>
    </font>
    <font>
      <sz val="10"/>
      <color rgb="FF00B050"/>
      <name val="Calibri"/>
      <family val="2"/>
      <scheme val="minor"/>
    </font>
    <font>
      <i/>
      <sz val="10"/>
      <color theme="5" tint="-0.499984740745262"/>
      <name val="Calibri"/>
      <family val="2"/>
      <scheme val="minor"/>
    </font>
    <font>
      <sz val="10"/>
      <color indexed="12"/>
      <name val="Calibri"/>
      <family val="2"/>
      <scheme val="minor"/>
    </font>
    <font>
      <b/>
      <sz val="10"/>
      <color indexed="12"/>
      <name val="Calibri"/>
      <family val="2"/>
      <scheme val="minor"/>
    </font>
    <font>
      <sz val="11"/>
      <name val="Calibri"/>
      <family val="2"/>
      <scheme val="minor"/>
    </font>
    <font>
      <b/>
      <sz val="11"/>
      <color rgb="FF4F6128"/>
      <name val="Calibri"/>
      <family val="2"/>
      <scheme val="minor"/>
    </font>
    <font>
      <b/>
      <sz val="11"/>
      <color rgb="FF20124D"/>
      <name val="Calibri"/>
      <family val="2"/>
      <scheme val="minor"/>
    </font>
    <font>
      <b/>
      <sz val="11"/>
      <color rgb="FFC00000"/>
      <name val="Calibri"/>
      <family val="2"/>
      <scheme val="minor"/>
    </font>
    <font>
      <i/>
      <sz val="11"/>
      <color theme="1"/>
      <name val="Calibri"/>
      <family val="2"/>
      <scheme val="minor"/>
    </font>
    <font>
      <b/>
      <sz val="12"/>
      <color rgb="FF4F6128"/>
      <name val="Calibri"/>
      <family val="2"/>
      <scheme val="minor"/>
    </font>
    <font>
      <b/>
      <sz val="11"/>
      <color theme="2" tint="-0.499984740745262"/>
      <name val="Calibri"/>
      <family val="2"/>
      <scheme val="minor"/>
    </font>
    <font>
      <b/>
      <vertAlign val="superscript"/>
      <sz val="11"/>
      <color theme="2" tint="-0.499984740745262"/>
      <name val="Calibri"/>
      <family val="2"/>
      <scheme val="minor"/>
    </font>
    <font>
      <sz val="11"/>
      <color theme="2" tint="-0.499984740745262"/>
      <name val="Calibri"/>
      <family val="2"/>
      <scheme val="minor"/>
    </font>
    <font>
      <sz val="10"/>
      <color theme="8" tint="-0.249977111117893"/>
      <name val="Calibri"/>
      <family val="2"/>
      <scheme val="minor"/>
    </font>
    <font>
      <b/>
      <sz val="12"/>
      <color theme="5" tint="-0.249977111117893"/>
      <name val="Calibri"/>
      <family val="2"/>
      <scheme val="minor"/>
    </font>
    <font>
      <b/>
      <sz val="12"/>
      <color theme="9" tint="-0.499984740745262"/>
      <name val="Calibri"/>
      <family val="2"/>
      <scheme val="minor"/>
    </font>
    <font>
      <sz val="10"/>
      <color theme="9" tint="-0.499984740745262"/>
      <name val="Calibri"/>
      <family val="2"/>
      <scheme val="minor"/>
    </font>
    <font>
      <b/>
      <sz val="10"/>
      <color rgb="FFFF0000"/>
      <name val="Calibri"/>
      <family val="2"/>
      <scheme val="minor"/>
    </font>
    <font>
      <b/>
      <sz val="10"/>
      <color theme="9" tint="-0.499984740745262"/>
      <name val="Calibri"/>
      <family val="2"/>
      <scheme val="minor"/>
    </font>
    <font>
      <sz val="11"/>
      <color rgb="FF000000"/>
      <name val="Calibri"/>
      <family val="2"/>
    </font>
    <font>
      <sz val="10"/>
      <color theme="9" tint="-0.249977111117893"/>
      <name val="Calibri"/>
      <family val="2"/>
      <scheme val="minor"/>
    </font>
    <font>
      <b/>
      <sz val="10"/>
      <color theme="9" tint="-0.249977111117893"/>
      <name val="Calibri"/>
      <family val="2"/>
      <scheme val="minor"/>
    </font>
    <font>
      <b/>
      <sz val="16"/>
      <color rgb="FF000000"/>
      <name val="Calibri"/>
      <family val="2"/>
      <scheme val="minor"/>
    </font>
    <font>
      <sz val="14"/>
      <color rgb="FF000000"/>
      <name val="Calibri"/>
      <family val="2"/>
      <scheme val="minor"/>
    </font>
    <font>
      <b/>
      <sz val="14"/>
      <color theme="1"/>
      <name val="Calibri"/>
      <family val="2"/>
      <scheme val="minor"/>
    </font>
    <font>
      <sz val="12"/>
      <color theme="1"/>
      <name val="Calibri"/>
      <family val="2"/>
      <scheme val="minor"/>
    </font>
    <font>
      <b/>
      <sz val="12"/>
      <color rgb="FF000000"/>
      <name val="Calibri"/>
      <family val="2"/>
      <scheme val="minor"/>
    </font>
    <font>
      <i/>
      <sz val="8"/>
      <name val="Calibri"/>
      <family val="2"/>
      <scheme val="minor"/>
    </font>
    <font>
      <sz val="10"/>
      <color rgb="FF7030A0"/>
      <name val="Calibri"/>
      <family val="2"/>
      <scheme val="minor"/>
    </font>
    <font>
      <b/>
      <sz val="12"/>
      <color theme="0"/>
      <name val="Calibri"/>
      <family val="2"/>
      <scheme val="minor"/>
    </font>
    <font>
      <b/>
      <sz val="12"/>
      <color theme="8" tint="-0.499984740745262"/>
      <name val="Calibri"/>
      <family val="2"/>
      <scheme val="minor"/>
    </font>
    <font>
      <i/>
      <sz val="10"/>
      <name val="Calibri"/>
      <family val="2"/>
      <scheme val="minor"/>
    </font>
    <font>
      <i/>
      <sz val="10"/>
      <color theme="9" tint="-0.499984740745262"/>
      <name val="Calibri"/>
      <family val="2"/>
      <scheme val="minor"/>
    </font>
    <font>
      <i/>
      <sz val="10"/>
      <color theme="3" tint="-0.249977111117893"/>
      <name val="Calibri"/>
      <family val="2"/>
      <scheme val="minor"/>
    </font>
    <font>
      <i/>
      <sz val="10"/>
      <color theme="5" tint="-0.249977111117893"/>
      <name val="Calibri"/>
      <family val="2"/>
      <scheme val="minor"/>
    </font>
    <font>
      <b/>
      <i/>
      <sz val="10"/>
      <name val="Calibri"/>
      <family val="2"/>
      <scheme val="minor"/>
    </font>
    <font>
      <vertAlign val="superscript"/>
      <sz val="10"/>
      <name val="Calibri"/>
      <family val="2"/>
      <scheme val="minor"/>
    </font>
    <font>
      <b/>
      <sz val="9"/>
      <color theme="1"/>
      <name val="Calibri"/>
      <family val="2"/>
      <scheme val="minor"/>
    </font>
    <font>
      <b/>
      <sz val="11"/>
      <name val="Arial"/>
      <family val="2"/>
      <charset val="1"/>
    </font>
    <font>
      <b/>
      <sz val="10"/>
      <name val="Arial"/>
      <family val="2"/>
      <charset val="1"/>
    </font>
    <font>
      <sz val="10"/>
      <name val="Arial"/>
      <family val="2"/>
      <charset val="1"/>
    </font>
    <font>
      <i/>
      <sz val="8"/>
      <name val="Arial"/>
      <family val="2"/>
    </font>
    <font>
      <sz val="10"/>
      <color rgb="FF7030A0"/>
      <name val="Arial"/>
      <family val="2"/>
    </font>
    <font>
      <b/>
      <sz val="12"/>
      <color theme="3" tint="0.39997558519241921"/>
      <name val="Calibri"/>
      <family val="2"/>
      <scheme val="minor"/>
    </font>
    <font>
      <sz val="10"/>
      <color rgb="FF00B0F0"/>
      <name val="Calibri"/>
      <family val="2"/>
      <scheme val="minor"/>
    </font>
    <font>
      <b/>
      <sz val="10"/>
      <color indexed="8"/>
      <name val="Calibri"/>
      <family val="2"/>
      <scheme val="minor"/>
    </font>
    <font>
      <sz val="10"/>
      <color indexed="8"/>
      <name val="Calibri"/>
      <family val="2"/>
      <scheme val="minor"/>
    </font>
    <font>
      <b/>
      <sz val="10"/>
      <color theme="8" tint="-0.249977111117893"/>
      <name val="Calibri"/>
      <family val="2"/>
      <scheme val="minor"/>
    </font>
    <font>
      <sz val="10"/>
      <color rgb="FF31831B"/>
      <name val="Calibri"/>
      <family val="2"/>
      <scheme val="minor"/>
    </font>
    <font>
      <b/>
      <sz val="10"/>
      <color rgb="FF31831B"/>
      <name val="Calibri"/>
      <family val="2"/>
      <scheme val="minor"/>
    </font>
    <font>
      <sz val="14"/>
      <name val="Arial"/>
      <family val="2"/>
      <charset val="1"/>
    </font>
    <font>
      <sz val="8"/>
      <name val="Arial"/>
      <family val="2"/>
      <charset val="1"/>
    </font>
    <font>
      <sz val="8"/>
      <name val="Arial"/>
      <family val="2"/>
    </font>
    <font>
      <b/>
      <sz val="8"/>
      <name val="Arial"/>
      <family val="2"/>
      <charset val="1"/>
    </font>
    <font>
      <sz val="10"/>
      <color rgb="FFFF0000"/>
      <name val="Arial"/>
      <family val="2"/>
      <charset val="1"/>
    </font>
    <font>
      <b/>
      <sz val="12"/>
      <color theme="7" tint="0.39997558519241921"/>
      <name val="Calibri"/>
      <family val="2"/>
      <scheme val="minor"/>
    </font>
    <font>
      <b/>
      <sz val="10"/>
      <color theme="7" tint="0.39997558519241921"/>
      <name val="Calibri"/>
      <family val="2"/>
      <scheme val="minor"/>
    </font>
    <font>
      <sz val="10"/>
      <color theme="7" tint="0.39997558519241921"/>
      <name val="Calibri"/>
      <family val="2"/>
      <scheme val="minor"/>
    </font>
    <font>
      <vertAlign val="superscript"/>
      <sz val="10"/>
      <color theme="7" tint="0.39997558519241921"/>
      <name val="Calibri"/>
      <family val="2"/>
      <scheme val="minor"/>
    </font>
    <font>
      <sz val="10"/>
      <color theme="0"/>
      <name val="Calibri"/>
      <family val="2"/>
      <scheme val="minor"/>
    </font>
    <font>
      <b/>
      <sz val="18"/>
      <color rgb="FF000000"/>
      <name val="Calibri"/>
      <family val="2"/>
      <scheme val="minor"/>
    </font>
    <font>
      <sz val="16"/>
      <color rgb="FF000000"/>
      <name val="Calibri"/>
      <family val="2"/>
      <scheme val="minor"/>
    </font>
    <font>
      <b/>
      <sz val="16"/>
      <color rgb="FFC00000"/>
      <name val="Calibri"/>
      <family val="2"/>
      <scheme val="minor"/>
    </font>
    <font>
      <sz val="16"/>
      <color rgb="FFC00000"/>
      <name val="Calibri"/>
      <family val="2"/>
      <scheme val="minor"/>
    </font>
    <font>
      <sz val="9"/>
      <color rgb="FF1F1F1F"/>
      <name val="Arial"/>
      <family val="2"/>
    </font>
  </fonts>
  <fills count="55">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theme="0" tint="-0.14999847407452621"/>
        <bgColor indexed="64"/>
      </patternFill>
    </fill>
    <fill>
      <patternFill patternType="solid">
        <fgColor theme="0"/>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FFFFFF"/>
        <bgColor rgb="FFF2F2F2"/>
      </patternFill>
    </fill>
    <fill>
      <patternFill patternType="solid">
        <fgColor rgb="FFFEFCD6"/>
        <bgColor indexed="64"/>
      </patternFill>
    </fill>
    <fill>
      <patternFill patternType="solid">
        <fgColor theme="9" tint="0.79998168889431442"/>
        <bgColor indexed="64"/>
      </patternFill>
    </fill>
    <fill>
      <patternFill patternType="solid">
        <fgColor theme="0"/>
        <bgColor theme="0"/>
      </patternFill>
    </fill>
    <fill>
      <patternFill patternType="solid">
        <fgColor rgb="FFFAFED6"/>
        <bgColor rgb="FFFFFFCC"/>
      </patternFill>
    </fill>
    <fill>
      <patternFill patternType="solid">
        <fgColor rgb="FFFFFFCC"/>
        <bgColor rgb="FFFFFFCC"/>
      </patternFill>
    </fill>
    <fill>
      <patternFill patternType="solid">
        <fgColor rgb="FFFFFFFF"/>
        <bgColor rgb="FFFFFFCC"/>
      </patternFill>
    </fill>
    <fill>
      <patternFill patternType="solid">
        <fgColor rgb="FFFFFFFF"/>
        <bgColor rgb="FFFFFFFF"/>
      </patternFill>
    </fill>
    <fill>
      <patternFill patternType="solid">
        <fgColor rgb="FFFAFED6"/>
        <bgColor rgb="FF000000"/>
      </patternFill>
    </fill>
    <fill>
      <patternFill patternType="solid">
        <fgColor rgb="FFFFF8E5"/>
        <bgColor rgb="FF000000"/>
      </patternFill>
    </fill>
    <fill>
      <patternFill patternType="solid">
        <fgColor rgb="FFFFFFFF"/>
        <bgColor rgb="FF000000"/>
      </patternFill>
    </fill>
    <fill>
      <patternFill patternType="solid">
        <fgColor rgb="FF7DFBB0"/>
        <bgColor rgb="FFFFFFFF"/>
      </patternFill>
    </fill>
    <fill>
      <patternFill patternType="solid">
        <fgColor rgb="FFFFFFCC"/>
        <bgColor rgb="FF000000"/>
      </patternFill>
    </fill>
    <fill>
      <patternFill patternType="solid">
        <fgColor rgb="FFFFFFE5"/>
        <bgColor rgb="FF000000"/>
      </patternFill>
    </fill>
    <fill>
      <patternFill patternType="solid">
        <fgColor rgb="FFCAFED8"/>
        <bgColor rgb="FF000000"/>
      </patternFill>
    </fill>
    <fill>
      <patternFill patternType="solid">
        <fgColor rgb="FFCAFED8"/>
        <bgColor indexed="64"/>
      </patternFill>
    </fill>
    <fill>
      <patternFill patternType="solid">
        <fgColor rgb="FFCAFED8"/>
        <bgColor rgb="FFEAF1DD"/>
      </patternFill>
    </fill>
    <fill>
      <patternFill patternType="solid">
        <fgColor rgb="FFFEF3A2"/>
        <bgColor indexed="64"/>
      </patternFill>
    </fill>
    <fill>
      <patternFill patternType="solid">
        <fgColor theme="4" tint="-0.499984740745262"/>
        <bgColor indexed="64"/>
      </patternFill>
    </fill>
    <fill>
      <patternFill patternType="solid">
        <fgColor rgb="FFFEFCD6"/>
        <bgColor rgb="FF000000"/>
      </patternFill>
    </fill>
    <fill>
      <patternFill patternType="solid">
        <fgColor rgb="FFFFD5FC"/>
        <bgColor rgb="FF000000"/>
      </patternFill>
    </fill>
    <fill>
      <patternFill patternType="solid">
        <fgColor rgb="FFFFD5FC"/>
        <bgColor indexed="64"/>
      </patternFill>
    </fill>
    <fill>
      <patternFill patternType="solid">
        <fgColor rgb="FFCAFED8"/>
        <bgColor rgb="FFBAFEBA"/>
      </patternFill>
    </fill>
    <fill>
      <patternFill patternType="solid">
        <fgColor theme="0"/>
        <bgColor rgb="FFFFFFCC"/>
      </patternFill>
    </fill>
    <fill>
      <patternFill patternType="solid">
        <fgColor theme="0" tint="-0.14999847407452621"/>
        <bgColor rgb="FFA7C0DE"/>
      </patternFill>
    </fill>
    <fill>
      <patternFill patternType="solid">
        <fgColor theme="7" tint="0.79998168889431442"/>
        <bgColor rgb="FFFFFFCC"/>
      </patternFill>
    </fill>
    <fill>
      <patternFill patternType="solid">
        <fgColor theme="5" tint="0.79998168889431442"/>
        <bgColor rgb="FF000000"/>
      </patternFill>
    </fill>
    <fill>
      <patternFill patternType="solid">
        <fgColor theme="7" tint="0.79998168889431442"/>
        <bgColor indexed="64"/>
      </patternFill>
    </fill>
    <fill>
      <patternFill patternType="solid">
        <fgColor rgb="FFF9FEBE"/>
        <bgColor theme="0"/>
      </patternFill>
    </fill>
    <fill>
      <patternFill patternType="solid">
        <fgColor rgb="FFBBFDD6"/>
        <bgColor indexed="64"/>
      </patternFill>
    </fill>
    <fill>
      <patternFill patternType="solid">
        <fgColor theme="8" tint="0.79998168889431442"/>
        <bgColor indexed="64"/>
      </patternFill>
    </fill>
    <fill>
      <patternFill patternType="solid">
        <fgColor theme="8" tint="-0.499984740745262"/>
        <bgColor indexed="64"/>
      </patternFill>
    </fill>
    <fill>
      <patternFill patternType="solid">
        <fgColor rgb="FFA6FAC2"/>
        <bgColor indexed="64"/>
      </patternFill>
    </fill>
    <fill>
      <patternFill patternType="solid">
        <fgColor rgb="FF98FEAB"/>
        <bgColor indexed="64"/>
      </patternFill>
    </fill>
    <fill>
      <patternFill patternType="solid">
        <fgColor rgb="FFD9D9D9"/>
        <bgColor rgb="FFD7E4BD"/>
      </patternFill>
    </fill>
    <fill>
      <patternFill patternType="solid">
        <fgColor rgb="FFBEFEBE"/>
        <bgColor indexed="64"/>
      </patternFill>
    </fill>
    <fill>
      <patternFill patternType="solid">
        <fgColor theme="0"/>
        <bgColor rgb="FFD6E3BC"/>
      </patternFill>
    </fill>
    <fill>
      <patternFill patternType="solid">
        <fgColor rgb="FFF6FEA8"/>
        <bgColor rgb="FFBAFEBA"/>
      </patternFill>
    </fill>
    <fill>
      <patternFill patternType="solid">
        <fgColor theme="3" tint="0.79998168889431442"/>
        <bgColor rgb="FFFFFFCC"/>
      </patternFill>
    </fill>
    <fill>
      <patternFill patternType="solid">
        <fgColor theme="5" tint="0.79998168889431442"/>
        <bgColor rgb="FFFFFFCC"/>
      </patternFill>
    </fill>
    <fill>
      <patternFill patternType="solid">
        <fgColor rgb="FFFFFFCC"/>
        <bgColor rgb="FFEBF1DE"/>
      </patternFill>
    </fill>
    <fill>
      <patternFill patternType="solid">
        <fgColor rgb="FFA6FAC2"/>
        <bgColor rgb="FFD9D9D9"/>
      </patternFill>
    </fill>
    <fill>
      <patternFill patternType="solid">
        <fgColor theme="0"/>
        <bgColor rgb="FFD9D9D9"/>
      </patternFill>
    </fill>
    <fill>
      <patternFill patternType="solid">
        <fgColor rgb="FFDDE8FF"/>
        <bgColor theme="0"/>
      </patternFill>
    </fill>
    <fill>
      <patternFill patternType="solid">
        <fgColor rgb="FFBEFEBE"/>
        <bgColor rgb="FFA8FEB8"/>
      </patternFill>
    </fill>
    <fill>
      <patternFill patternType="solid">
        <fgColor rgb="FFBEFEBE"/>
        <bgColor theme="0"/>
      </patternFill>
    </fill>
    <fill>
      <patternFill patternType="solid">
        <fgColor rgb="FFBEFEBE"/>
        <bgColor rgb="FFD8D8D8"/>
      </patternFill>
    </fill>
  </fills>
  <borders count="135">
    <border>
      <left/>
      <right/>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style="medium">
        <color indexed="64"/>
      </left>
      <right/>
      <top/>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style="medium">
        <color indexed="64"/>
      </top>
      <bottom style="medium">
        <color indexed="64"/>
      </bottom>
      <diagonal/>
    </border>
    <border>
      <left/>
      <right/>
      <top style="thin">
        <color indexed="64"/>
      </top>
      <bottom/>
      <diagonal/>
    </border>
    <border>
      <left/>
      <right/>
      <top/>
      <bottom style="thick">
        <color theme="4" tint="0.499984740745262"/>
      </bottom>
      <diagonal/>
    </border>
    <border>
      <left/>
      <right/>
      <top/>
      <bottom style="medium">
        <color theme="4" tint="0.39997558519241921"/>
      </bottom>
      <diagonal/>
    </border>
    <border>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diagonal/>
    </border>
    <border>
      <left/>
      <right/>
      <top/>
      <bottom style="thick">
        <color theme="6" tint="0.39994506668294322"/>
      </bottom>
      <diagonal/>
    </border>
    <border>
      <left/>
      <right style="thin">
        <color indexed="64"/>
      </right>
      <top style="medium">
        <color indexed="64"/>
      </top>
      <bottom style="medium">
        <color indexed="64"/>
      </bottom>
      <diagonal/>
    </border>
    <border>
      <left style="thin">
        <color indexed="64"/>
      </left>
      <right style="thin">
        <color indexed="64"/>
      </right>
      <top style="thick">
        <color theme="6" tint="0.39994506668294322"/>
      </top>
      <bottom/>
      <diagonal/>
    </border>
    <border>
      <left/>
      <right/>
      <top/>
      <bottom style="thick">
        <color theme="3" tint="0.39994506668294322"/>
      </bottom>
      <diagonal/>
    </border>
    <border>
      <left style="thin">
        <color indexed="64"/>
      </left>
      <right style="thin">
        <color indexed="64"/>
      </right>
      <top style="thick">
        <color theme="3" tint="0.39994506668294322"/>
      </top>
      <bottom/>
      <diagonal/>
    </border>
    <border>
      <left/>
      <right style="medium">
        <color indexed="64"/>
      </right>
      <top style="thin">
        <color indexed="64"/>
      </top>
      <bottom/>
      <diagonal/>
    </border>
    <border>
      <left/>
      <right style="medium">
        <color indexed="64"/>
      </right>
      <top/>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rgb="FF000000"/>
      </left>
      <right style="thin">
        <color rgb="FF000000"/>
      </right>
      <top/>
      <bottom style="thin">
        <color rgb="FF000000"/>
      </bottom>
      <diagonal/>
    </border>
    <border>
      <left/>
      <right style="thin">
        <color rgb="FF000000"/>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bottom/>
      <diagonal/>
    </border>
    <border>
      <left style="thin">
        <color rgb="FF000000"/>
      </left>
      <right style="thin">
        <color rgb="FF000000"/>
      </right>
      <top/>
      <bottom/>
      <diagonal/>
    </border>
    <border>
      <left style="thin">
        <color auto="1"/>
      </left>
      <right style="thin">
        <color rgb="FF000000"/>
      </right>
      <top/>
      <bottom style="thin">
        <color rgb="FF000000"/>
      </bottom>
      <diagonal/>
    </border>
    <border>
      <left/>
      <right/>
      <top/>
      <bottom style="thick">
        <color rgb="FFACCCEA"/>
      </bottom>
      <diagonal/>
    </border>
    <border>
      <left/>
      <right/>
      <top/>
      <bottom style="thick">
        <color rgb="FFC2D69B"/>
      </bottom>
      <diagonal/>
    </border>
    <border>
      <left/>
      <right/>
      <top style="thick">
        <color rgb="FFACCCEA"/>
      </top>
      <bottom style="thin">
        <color indexed="64"/>
      </bottom>
      <diagonal/>
    </border>
    <border>
      <left style="thin">
        <color rgb="FF000000"/>
      </left>
      <right/>
      <top style="thin">
        <color auto="1"/>
      </top>
      <bottom/>
      <diagonal/>
    </border>
    <border>
      <left/>
      <right/>
      <top/>
      <bottom style="medium">
        <color rgb="FF9BC2E6"/>
      </bottom>
      <diagonal/>
    </border>
    <border>
      <left/>
      <right/>
      <top/>
      <bottom style="medium">
        <color rgb="FFCF9FFF"/>
      </bottom>
      <diagonal/>
    </border>
    <border>
      <left/>
      <right/>
      <top style="medium">
        <color rgb="FFCF9FFF"/>
      </top>
      <bottom style="medium">
        <color rgb="FFCF9FFF"/>
      </bottom>
      <diagonal/>
    </border>
    <border>
      <left/>
      <right/>
      <top style="medium">
        <color rgb="FFCF9FFF"/>
      </top>
      <bottom/>
      <diagonal/>
    </border>
    <border>
      <left style="thin">
        <color rgb="FF000000"/>
      </left>
      <right/>
      <top style="thin">
        <color indexed="64"/>
      </top>
      <bottom style="thin">
        <color indexed="64"/>
      </bottom>
      <diagonal/>
    </border>
    <border>
      <left/>
      <right/>
      <top/>
      <bottom style="thick">
        <color rgb="FFBFBFBF"/>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ck">
        <color theme="2" tint="-0.499984740745262"/>
      </left>
      <right/>
      <top style="thick">
        <color theme="2" tint="-0.499984740745262"/>
      </top>
      <bottom style="thick">
        <color theme="2" tint="-0.499984740745262"/>
      </bottom>
      <diagonal/>
    </border>
    <border>
      <left/>
      <right style="thick">
        <color theme="2" tint="-0.499984740745262"/>
      </right>
      <top style="thick">
        <color theme="2" tint="-0.499984740745262"/>
      </top>
      <bottom style="thick">
        <color theme="2" tint="-0.499984740745262"/>
      </bottom>
      <diagonal/>
    </border>
    <border>
      <left style="thin">
        <color theme="2" tint="-0.499984740745262"/>
      </left>
      <right style="thin">
        <color theme="2" tint="-0.499984740745262"/>
      </right>
      <top style="thin">
        <color theme="2" tint="-0.499984740745262"/>
      </top>
      <bottom style="thin">
        <color theme="2" tint="-0.499984740745262"/>
      </bottom>
      <diagonal/>
    </border>
    <border>
      <left style="thin">
        <color theme="2" tint="-0.499984740745262"/>
      </left>
      <right/>
      <top style="thin">
        <color theme="2" tint="-0.499984740745262"/>
      </top>
      <bottom style="thin">
        <color theme="2" tint="-0.499984740745262"/>
      </bottom>
      <diagonal/>
    </border>
    <border>
      <left/>
      <right style="thin">
        <color theme="2" tint="-0.499984740745262"/>
      </right>
      <top style="thin">
        <color theme="2" tint="-0.499984740745262"/>
      </top>
      <bottom style="thin">
        <color theme="2" tint="-0.499984740745262"/>
      </bottom>
      <diagonal/>
    </border>
    <border>
      <left/>
      <right/>
      <top style="thin">
        <color theme="2" tint="-0.499984740745262"/>
      </top>
      <bottom style="thin">
        <color theme="2" tint="-0.499984740745262"/>
      </bottom>
      <diagonal/>
    </border>
    <border>
      <left style="thin">
        <color rgb="FF000000"/>
      </left>
      <right/>
      <top/>
      <bottom style="thin">
        <color indexed="64"/>
      </bottom>
      <diagonal/>
    </border>
    <border>
      <left/>
      <right/>
      <top/>
      <bottom style="thick">
        <color theme="5" tint="0.39994506668294322"/>
      </bottom>
      <diagonal/>
    </border>
    <border>
      <left/>
      <right/>
      <top/>
      <bottom style="thick">
        <color theme="9" tint="0.39994506668294322"/>
      </bottom>
      <diagonal/>
    </border>
    <border>
      <left style="thick">
        <color theme="9" tint="0.39994506668294322"/>
      </left>
      <right/>
      <top style="thick">
        <color theme="9" tint="0.39994506668294322"/>
      </top>
      <bottom style="thin">
        <color rgb="FF000000"/>
      </bottom>
      <diagonal/>
    </border>
    <border>
      <left/>
      <right/>
      <top style="thick">
        <color theme="9" tint="0.39994506668294322"/>
      </top>
      <bottom style="thin">
        <color rgb="FF000000"/>
      </bottom>
      <diagonal/>
    </border>
    <border>
      <left/>
      <right/>
      <top style="thick">
        <color theme="9" tint="0.39994506668294322"/>
      </top>
      <bottom/>
      <diagonal/>
    </border>
    <border>
      <left/>
      <right style="thick">
        <color theme="9" tint="0.39994506668294322"/>
      </right>
      <top style="thick">
        <color theme="9" tint="0.39994506668294322"/>
      </top>
      <bottom/>
      <diagonal/>
    </border>
    <border>
      <left style="thick">
        <color theme="9" tint="0.39994506668294322"/>
      </left>
      <right/>
      <top style="thin">
        <color rgb="FF000000"/>
      </top>
      <bottom style="thin">
        <color rgb="FF000000"/>
      </bottom>
      <diagonal/>
    </border>
    <border>
      <left/>
      <right style="thick">
        <color theme="9" tint="0.39994506668294322"/>
      </right>
      <top style="thin">
        <color indexed="64"/>
      </top>
      <bottom style="thin">
        <color indexed="64"/>
      </bottom>
      <diagonal/>
    </border>
    <border>
      <left style="thick">
        <color theme="9" tint="0.39994506668294322"/>
      </left>
      <right style="thin">
        <color rgb="FF000000"/>
      </right>
      <top style="thin">
        <color rgb="FF000000"/>
      </top>
      <bottom style="thin">
        <color rgb="FF000000"/>
      </bottom>
      <diagonal/>
    </border>
    <border>
      <left style="thin">
        <color rgb="FF000000"/>
      </left>
      <right style="thick">
        <color theme="9" tint="0.39994506668294322"/>
      </right>
      <top/>
      <bottom style="thin">
        <color rgb="FF000000"/>
      </bottom>
      <diagonal/>
    </border>
    <border>
      <left style="thick">
        <color theme="9" tint="0.39994506668294322"/>
      </left>
      <right/>
      <top/>
      <bottom style="thin">
        <color rgb="FF000000"/>
      </bottom>
      <diagonal/>
    </border>
    <border>
      <left style="thick">
        <color theme="9" tint="0.39994506668294322"/>
      </left>
      <right/>
      <top/>
      <bottom/>
      <diagonal/>
    </border>
    <border>
      <left/>
      <right style="thick">
        <color theme="9" tint="0.39994506668294322"/>
      </right>
      <top/>
      <bottom/>
      <diagonal/>
    </border>
    <border>
      <left style="thick">
        <color theme="9" tint="0.39994506668294322"/>
      </left>
      <right style="thin">
        <color indexed="64"/>
      </right>
      <top style="thin">
        <color indexed="64"/>
      </top>
      <bottom style="thin">
        <color indexed="64"/>
      </bottom>
      <diagonal/>
    </border>
    <border>
      <left style="thin">
        <color indexed="64"/>
      </left>
      <right style="thick">
        <color theme="9" tint="0.39994506668294322"/>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rgb="FF000000"/>
      </right>
      <top style="medium">
        <color indexed="64"/>
      </top>
      <bottom style="thin">
        <color rgb="FF000000"/>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rgb="FF000000"/>
      </right>
      <top style="thin">
        <color rgb="FF000000"/>
      </top>
      <bottom style="thin">
        <color rgb="FF000000"/>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rgb="FF000000"/>
      </bottom>
      <diagonal/>
    </border>
    <border>
      <left/>
      <right style="medium">
        <color rgb="FF000000"/>
      </right>
      <top style="medium">
        <color rgb="FF000000"/>
      </top>
      <bottom style="medium">
        <color rgb="FF000000"/>
      </bottom>
      <diagonal/>
    </border>
    <border>
      <left/>
      <right/>
      <top/>
      <bottom style="thick">
        <color theme="0" tint="-0.24994659260841701"/>
      </bottom>
      <diagonal/>
    </border>
    <border>
      <left/>
      <right/>
      <top style="thick">
        <color theme="0" tint="-0.24994659260841701"/>
      </top>
      <bottom style="thick">
        <color theme="0" tint="-0.24994659260841701"/>
      </bottom>
      <diagonal/>
    </border>
    <border>
      <left/>
      <right/>
      <top style="thick">
        <color theme="0" tint="-0.24994659260841701"/>
      </top>
      <bottom style="thin">
        <color theme="0" tint="-0.24994659260841701"/>
      </bottom>
      <diagonal/>
    </border>
    <border>
      <left/>
      <right/>
      <top style="thin">
        <color theme="0" tint="-0.24994659260841701"/>
      </top>
      <bottom style="thin">
        <color theme="0" tint="-0.24994659260841701"/>
      </bottom>
      <diagonal/>
    </border>
    <border>
      <left style="thin">
        <color indexed="64"/>
      </left>
      <right style="medium">
        <color indexed="64"/>
      </right>
      <top style="thin">
        <color indexed="64"/>
      </top>
      <bottom style="thin">
        <color indexed="64"/>
      </bottom>
      <diagonal/>
    </border>
    <border>
      <left style="thin">
        <color rgb="FF000000"/>
      </left>
      <right/>
      <top style="thick">
        <color theme="9" tint="0.39994506668294322"/>
      </top>
      <bottom/>
      <diagonal/>
    </border>
    <border>
      <left style="thin">
        <color rgb="FF000000"/>
      </left>
      <right style="thin">
        <color rgb="FF000000"/>
      </right>
      <top style="thick">
        <color theme="9" tint="0.39994506668294322"/>
      </top>
      <bottom/>
      <diagonal/>
    </border>
    <border>
      <left style="thin">
        <color indexed="64"/>
      </left>
      <right style="thin">
        <color indexed="64"/>
      </right>
      <top style="thick">
        <color theme="9" tint="0.39994506668294322"/>
      </top>
      <bottom/>
      <diagonal/>
    </border>
    <border>
      <left/>
      <right style="thin">
        <color rgb="FF000000"/>
      </right>
      <top style="thick">
        <color theme="9" tint="0.39994506668294322"/>
      </top>
      <bottom style="thin">
        <color rgb="FF000000"/>
      </bottom>
      <diagonal/>
    </border>
    <border>
      <left style="thick">
        <color theme="9" tint="0.39994506668294322"/>
      </left>
      <right/>
      <top style="thin">
        <color indexed="64"/>
      </top>
      <bottom style="thick">
        <color theme="9" tint="0.39994506668294322"/>
      </bottom>
      <diagonal/>
    </border>
    <border>
      <left/>
      <right/>
      <top style="thin">
        <color indexed="64"/>
      </top>
      <bottom style="thick">
        <color theme="9" tint="0.39994506668294322"/>
      </bottom>
      <diagonal/>
    </border>
    <border>
      <left/>
      <right style="thick">
        <color theme="9" tint="0.39994506668294322"/>
      </right>
      <top style="thin">
        <color indexed="64"/>
      </top>
      <bottom style="thick">
        <color theme="9" tint="0.39994506668294322"/>
      </bottom>
      <diagonal/>
    </border>
    <border>
      <left style="thin">
        <color indexed="64"/>
      </left>
      <right/>
      <top style="thick">
        <color theme="9" tint="0.39994506668294322"/>
      </top>
      <bottom style="thin">
        <color rgb="FF000000"/>
      </bottom>
      <diagonal/>
    </border>
    <border>
      <left/>
      <right/>
      <top style="medium">
        <color rgb="FF1D08B8"/>
      </top>
      <bottom/>
      <diagonal/>
    </border>
    <border>
      <left style="medium">
        <color rgb="FF1D08B8"/>
      </left>
      <right/>
      <top/>
      <bottom/>
      <diagonal/>
    </border>
    <border>
      <left/>
      <right/>
      <top/>
      <bottom style="thick">
        <color theme="0" tint="-0.14996795556505021"/>
      </bottom>
      <diagonal/>
    </border>
    <border>
      <left style="thick">
        <color theme="9" tint="0.39994506668294322"/>
      </left>
      <right style="thin">
        <color auto="1"/>
      </right>
      <top style="thick">
        <color theme="9" tint="0.39994506668294322"/>
      </top>
      <bottom/>
      <diagonal/>
    </border>
    <border>
      <left style="thick">
        <color theme="9" tint="0.39994506668294322"/>
      </left>
      <right style="thin">
        <color auto="1"/>
      </right>
      <top/>
      <bottom/>
      <diagonal/>
    </border>
    <border>
      <left style="thick">
        <color theme="9" tint="0.39994506668294322"/>
      </left>
      <right style="thin">
        <color auto="1"/>
      </right>
      <top/>
      <bottom style="thin">
        <color rgb="FF000000"/>
      </bottom>
      <diagonal/>
    </border>
    <border>
      <left style="thin">
        <color auto="1"/>
      </left>
      <right/>
      <top style="thick">
        <color theme="9" tint="0.39994506668294322"/>
      </top>
      <bottom/>
      <diagonal/>
    </border>
    <border>
      <left style="thin">
        <color auto="1"/>
      </left>
      <right/>
      <top style="thick">
        <color theme="9" tint="0.39994506668294322"/>
      </top>
      <bottom style="thin">
        <color auto="1"/>
      </bottom>
      <diagonal/>
    </border>
    <border>
      <left/>
      <right/>
      <top style="thick">
        <color theme="9" tint="0.39994506668294322"/>
      </top>
      <bottom style="thin">
        <color auto="1"/>
      </bottom>
      <diagonal/>
    </border>
    <border>
      <left style="thin">
        <color auto="1"/>
      </left>
      <right style="thin">
        <color auto="1"/>
      </right>
      <top/>
      <bottom style="thin">
        <color rgb="FF000000"/>
      </bottom>
      <diagonal/>
    </border>
    <border>
      <left/>
      <right/>
      <top/>
      <bottom style="thick">
        <color theme="3" tint="0.59996337778862885"/>
      </bottom>
      <diagonal/>
    </border>
    <border>
      <left style="thin">
        <color indexed="64"/>
      </left>
      <right/>
      <top style="thick">
        <color theme="3" tint="0.59996337778862885"/>
      </top>
      <bottom style="thin">
        <color indexed="64"/>
      </bottom>
      <diagonal/>
    </border>
    <border>
      <left/>
      <right style="thin">
        <color theme="2" tint="-0.499984740745262"/>
      </right>
      <top/>
      <bottom/>
      <diagonal/>
    </border>
    <border>
      <left style="thin">
        <color indexed="64"/>
      </left>
      <right style="thin">
        <color indexed="64"/>
      </right>
      <top style="thin">
        <color indexed="64"/>
      </top>
      <bottom style="thick">
        <color theme="4" tint="0.39994506668294322"/>
      </bottom>
      <diagonal/>
    </border>
    <border>
      <left style="thin">
        <color auto="1"/>
      </left>
      <right/>
      <top style="thick">
        <color theme="6" tint="0.39994506668294322"/>
      </top>
      <bottom/>
      <diagonal/>
    </border>
    <border>
      <left style="thin">
        <color rgb="FF000000"/>
      </left>
      <right style="thin">
        <color indexed="64"/>
      </right>
      <top style="thick">
        <color theme="3" tint="0.59996337778862885"/>
      </top>
      <bottom style="thin">
        <color rgb="FF000000"/>
      </bottom>
      <diagonal/>
    </border>
    <border>
      <left style="thin">
        <color rgb="FF000000"/>
      </left>
      <right style="thin">
        <color rgb="FF000000"/>
      </right>
      <top style="thick">
        <color theme="3" tint="0.59996337778862885"/>
      </top>
      <bottom style="thin">
        <color rgb="FF000000"/>
      </bottom>
      <diagonal/>
    </border>
    <border>
      <left/>
      <right/>
      <top style="thick">
        <color rgb="FFBFBFBF"/>
      </top>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top/>
      <bottom style="thick">
        <color theme="4" tint="0.39994506668294322"/>
      </bottom>
      <diagonal/>
    </border>
    <border>
      <left style="thin">
        <color indexed="64"/>
      </left>
      <right style="thin">
        <color rgb="FF000000"/>
      </right>
      <top style="thin">
        <color indexed="64"/>
      </top>
      <bottom style="thin">
        <color indexed="64"/>
      </bottom>
      <diagonal/>
    </border>
    <border>
      <left style="thin">
        <color rgb="FF000000"/>
      </left>
      <right style="thin">
        <color indexed="64"/>
      </right>
      <top style="thin">
        <color indexed="64"/>
      </top>
      <bottom style="thin">
        <color indexed="64"/>
      </bottom>
      <diagonal/>
    </border>
    <border>
      <left style="thin">
        <color indexed="64"/>
      </left>
      <right style="thin">
        <color rgb="FF000000"/>
      </right>
      <top style="thin">
        <color indexed="64"/>
      </top>
      <bottom style="thin">
        <color rgb="FF000000"/>
      </bottom>
      <diagonal/>
    </border>
  </borders>
  <cellStyleXfs count="8">
    <xf numFmtId="0" fontId="0" fillId="0" borderId="0"/>
    <xf numFmtId="164" fontId="5" fillId="0" borderId="0" applyFont="0" applyFill="0" applyBorder="0" applyAlignment="0" applyProtection="0"/>
    <xf numFmtId="9" fontId="5" fillId="0" borderId="0" applyFont="0" applyFill="0" applyBorder="0" applyAlignment="0" applyProtection="0"/>
    <xf numFmtId="0" fontId="5" fillId="0" borderId="0"/>
    <xf numFmtId="0" fontId="8" fillId="0" borderId="21" applyNumberFormat="0" applyFill="0" applyAlignment="0" applyProtection="0"/>
    <xf numFmtId="0" fontId="9" fillId="0" borderId="22" applyNumberFormat="0" applyFill="0" applyAlignment="0" applyProtection="0"/>
    <xf numFmtId="0" fontId="5" fillId="0" borderId="0"/>
    <xf numFmtId="164" fontId="5" fillId="0" borderId="0" applyFont="0" applyFill="0" applyBorder="0" applyAlignment="0" applyProtection="0"/>
  </cellStyleXfs>
  <cellXfs count="996">
    <xf numFmtId="0" fontId="0" fillId="0" borderId="0" xfId="0"/>
    <xf numFmtId="0" fontId="0" fillId="0" borderId="0" xfId="0" applyProtection="1"/>
    <xf numFmtId="0" fontId="0" fillId="0" borderId="0" xfId="0" applyBorder="1" applyProtection="1"/>
    <xf numFmtId="0" fontId="7" fillId="0" borderId="0" xfId="0" applyFont="1" applyProtection="1"/>
    <xf numFmtId="0" fontId="14" fillId="18" borderId="0" xfId="0" applyFont="1" applyFill="1" applyBorder="1" applyAlignment="1" applyProtection="1">
      <alignment horizontal="center"/>
    </xf>
    <xf numFmtId="0" fontId="15" fillId="0" borderId="53" xfId="4" applyFont="1" applyFill="1" applyBorder="1" applyAlignment="1" applyProtection="1"/>
    <xf numFmtId="0" fontId="13" fillId="18" borderId="0" xfId="0" applyFont="1" applyFill="1" applyBorder="1" applyAlignment="1" applyProtection="1">
      <alignment horizontal="left" vertical="center"/>
    </xf>
    <xf numFmtId="0" fontId="16" fillId="0" borderId="55" xfId="0" applyFont="1" applyFill="1" applyBorder="1" applyAlignment="1" applyProtection="1">
      <alignment horizontal="center"/>
    </xf>
    <xf numFmtId="0" fontId="17" fillId="0" borderId="3" xfId="3" applyFont="1" applyFill="1" applyBorder="1" applyAlignment="1" applyProtection="1">
      <alignment horizontal="center"/>
    </xf>
    <xf numFmtId="0" fontId="14" fillId="18" borderId="0" xfId="0" applyFont="1" applyFill="1" applyBorder="1" applyAlignment="1" applyProtection="1">
      <alignment horizontal="left" vertical="center"/>
    </xf>
    <xf numFmtId="165" fontId="13" fillId="18" borderId="0" xfId="0" applyNumberFormat="1" applyFont="1" applyFill="1" applyBorder="1" applyAlignment="1" applyProtection="1">
      <alignment horizontal="right" vertical="center" indent="1"/>
    </xf>
    <xf numFmtId="0" fontId="18" fillId="18" borderId="0" xfId="0" applyFont="1" applyFill="1" applyBorder="1" applyAlignment="1" applyProtection="1">
      <alignment vertical="center"/>
    </xf>
    <xf numFmtId="0" fontId="19" fillId="0" borderId="53" xfId="4" applyFont="1" applyFill="1" applyBorder="1" applyAlignment="1" applyProtection="1"/>
    <xf numFmtId="0" fontId="16" fillId="18" borderId="15" xfId="0" applyFont="1" applyFill="1" applyBorder="1" applyAlignment="1" applyProtection="1">
      <alignment horizontal="center"/>
    </xf>
    <xf numFmtId="10" fontId="18" fillId="0" borderId="3" xfId="0" applyNumberFormat="1" applyFont="1" applyFill="1" applyBorder="1" applyAlignment="1" applyProtection="1">
      <alignment horizontal="justify" vertical="center"/>
    </xf>
    <xf numFmtId="0" fontId="13" fillId="0" borderId="3" xfId="0" applyFont="1" applyFill="1" applyBorder="1" applyAlignment="1" applyProtection="1">
      <alignment horizontal="center" vertical="center" wrapText="1"/>
    </xf>
    <xf numFmtId="10" fontId="21" fillId="0" borderId="41" xfId="0" applyNumberFormat="1" applyFont="1" applyFill="1" applyBorder="1" applyAlignment="1" applyProtection="1">
      <alignment horizontal="left" vertical="center" wrapText="1"/>
    </xf>
    <xf numFmtId="4" fontId="14" fillId="21" borderId="10" xfId="3" applyNumberFormat="1" applyFont="1" applyFill="1" applyBorder="1" applyAlignment="1" applyProtection="1">
      <alignment horizontal="right" vertical="center" wrapText="1" indent="1"/>
    </xf>
    <xf numFmtId="10" fontId="18" fillId="0" borderId="12" xfId="0" applyNumberFormat="1" applyFont="1" applyFill="1" applyBorder="1" applyAlignment="1" applyProtection="1">
      <alignment horizontal="justify" vertical="center"/>
    </xf>
    <xf numFmtId="10" fontId="18" fillId="18" borderId="0" xfId="0" applyNumberFormat="1" applyFont="1" applyFill="1" applyBorder="1" applyAlignment="1" applyProtection="1">
      <alignment horizontal="justify" vertical="center"/>
    </xf>
    <xf numFmtId="0" fontId="13" fillId="18" borderId="0" xfId="0" applyFont="1" applyFill="1" applyBorder="1" applyAlignment="1" applyProtection="1">
      <alignment vertical="center"/>
    </xf>
    <xf numFmtId="0" fontId="19" fillId="0" borderId="53" xfId="4" applyFont="1" applyFill="1" applyBorder="1" applyAlignment="1" applyProtection="1">
      <alignment horizontal="left"/>
    </xf>
    <xf numFmtId="165" fontId="14" fillId="0" borderId="3" xfId="0" applyNumberFormat="1" applyFont="1" applyFill="1" applyBorder="1" applyAlignment="1" applyProtection="1">
      <alignment horizontal="right" vertical="center" indent="1"/>
    </xf>
    <xf numFmtId="165" fontId="13" fillId="0" borderId="3" xfId="0" applyNumberFormat="1" applyFont="1" applyFill="1" applyBorder="1" applyAlignment="1" applyProtection="1">
      <alignment horizontal="right" vertical="center" indent="1"/>
    </xf>
    <xf numFmtId="10" fontId="18" fillId="18" borderId="3" xfId="0" applyNumberFormat="1" applyFont="1" applyFill="1" applyBorder="1" applyAlignment="1" applyProtection="1">
      <alignment horizontal="justify" vertical="center"/>
    </xf>
    <xf numFmtId="4" fontId="14" fillId="18" borderId="1" xfId="0" applyNumberFormat="1" applyFont="1" applyFill="1" applyBorder="1" applyAlignment="1" applyProtection="1">
      <alignment horizontal="right" vertical="center" indent="1"/>
    </xf>
    <xf numFmtId="0" fontId="18" fillId="0" borderId="3" xfId="0" applyFont="1" applyFill="1" applyBorder="1" applyAlignment="1" applyProtection="1">
      <alignment vertical="center"/>
    </xf>
    <xf numFmtId="0" fontId="18" fillId="0" borderId="3" xfId="0" applyFont="1" applyFill="1" applyBorder="1" applyAlignment="1" applyProtection="1">
      <alignment horizontal="justify" vertical="center"/>
    </xf>
    <xf numFmtId="171" fontId="13" fillId="0" borderId="3" xfId="0" applyNumberFormat="1" applyFont="1" applyFill="1" applyBorder="1" applyAlignment="1" applyProtection="1">
      <alignment horizontal="right" vertical="center" indent="1"/>
    </xf>
    <xf numFmtId="0" fontId="18" fillId="0" borderId="3" xfId="0" applyFont="1" applyFill="1" applyBorder="1" applyAlignment="1" applyProtection="1">
      <alignment vertical="center" shrinkToFit="1"/>
    </xf>
    <xf numFmtId="172" fontId="14" fillId="21" borderId="10" xfId="3" applyNumberFormat="1" applyFont="1" applyFill="1" applyBorder="1" applyAlignment="1" applyProtection="1">
      <alignment horizontal="right" vertical="center" wrapText="1" indent="1"/>
    </xf>
    <xf numFmtId="0" fontId="14" fillId="18" borderId="0" xfId="0" applyFont="1" applyFill="1" applyBorder="1" applyAlignment="1" applyProtection="1">
      <alignment horizontal="left"/>
    </xf>
    <xf numFmtId="165" fontId="14" fillId="18" borderId="3" xfId="0" applyNumberFormat="1" applyFont="1" applyFill="1" applyBorder="1" applyAlignment="1" applyProtection="1">
      <alignment horizontal="right" vertical="center" indent="1"/>
    </xf>
    <xf numFmtId="0" fontId="18" fillId="18" borderId="3" xfId="0" applyFont="1" applyFill="1" applyBorder="1" applyAlignment="1" applyProtection="1">
      <alignment vertical="center"/>
    </xf>
    <xf numFmtId="165" fontId="13" fillId="18" borderId="4" xfId="0" applyNumberFormat="1" applyFont="1" applyFill="1" applyBorder="1" applyAlignment="1" applyProtection="1">
      <alignment horizontal="right" vertical="center" indent="1"/>
    </xf>
    <xf numFmtId="0" fontId="13" fillId="18" borderId="0" xfId="0" applyFont="1" applyFill="1" applyBorder="1" applyAlignment="1" applyProtection="1">
      <alignment horizontal="right" vertical="center" indent="1"/>
    </xf>
    <xf numFmtId="0" fontId="25" fillId="18" borderId="0" xfId="0" applyFont="1" applyFill="1" applyBorder="1" applyAlignment="1" applyProtection="1">
      <alignment horizontal="center" vertical="center"/>
    </xf>
    <xf numFmtId="165" fontId="14" fillId="18" borderId="57" xfId="5" applyNumberFormat="1" applyFont="1" applyFill="1" applyBorder="1" applyAlignment="1" applyProtection="1">
      <alignment horizontal="right" vertical="center" indent="1"/>
    </xf>
    <xf numFmtId="4" fontId="14" fillId="18" borderId="0" xfId="0" applyNumberFormat="1" applyFont="1" applyFill="1" applyBorder="1" applyAlignment="1" applyProtection="1">
      <alignment horizontal="center" vertical="center"/>
    </xf>
    <xf numFmtId="172" fontId="14" fillId="0" borderId="10" xfId="3" applyNumberFormat="1" applyFont="1" applyFill="1" applyBorder="1" applyAlignment="1" applyProtection="1">
      <alignment horizontal="right" vertical="center" wrapText="1" indent="1"/>
    </xf>
    <xf numFmtId="4" fontId="14" fillId="18" borderId="0" xfId="3" applyNumberFormat="1" applyFont="1" applyFill="1" applyBorder="1" applyAlignment="1" applyProtection="1">
      <alignment horizontal="right" vertical="center" wrapText="1" indent="1"/>
    </xf>
    <xf numFmtId="10" fontId="18" fillId="0" borderId="0" xfId="0" applyNumberFormat="1" applyFont="1" applyFill="1" applyBorder="1" applyAlignment="1" applyProtection="1">
      <alignment horizontal="justify" vertical="center"/>
    </xf>
    <xf numFmtId="165" fontId="14" fillId="18" borderId="58" xfId="5" applyNumberFormat="1" applyFont="1" applyFill="1" applyBorder="1" applyAlignment="1" applyProtection="1">
      <alignment horizontal="right" vertical="center" indent="1"/>
    </xf>
    <xf numFmtId="165" fontId="14" fillId="18" borderId="59" xfId="5" applyNumberFormat="1" applyFont="1" applyFill="1" applyBorder="1" applyAlignment="1" applyProtection="1">
      <alignment horizontal="right" vertical="center" indent="1"/>
    </xf>
    <xf numFmtId="165" fontId="14" fillId="18" borderId="60" xfId="5" applyNumberFormat="1" applyFont="1" applyFill="1" applyBorder="1" applyAlignment="1" applyProtection="1">
      <alignment horizontal="right" vertical="center" indent="1"/>
    </xf>
    <xf numFmtId="4" fontId="14" fillId="0" borderId="10" xfId="3" applyNumberFormat="1" applyFont="1" applyFill="1" applyBorder="1" applyAlignment="1" applyProtection="1">
      <alignment horizontal="right" vertical="center" wrapText="1" indent="1"/>
    </xf>
    <xf numFmtId="0" fontId="28" fillId="18" borderId="0" xfId="0" applyFont="1" applyFill="1" applyBorder="1" applyAlignment="1" applyProtection="1">
      <alignment horizontal="left" vertical="center"/>
    </xf>
    <xf numFmtId="0" fontId="28" fillId="18" borderId="0" xfId="0" applyFont="1" applyFill="1" applyBorder="1" applyAlignment="1" applyProtection="1">
      <alignment horizontal="left" vertical="center" wrapText="1"/>
    </xf>
    <xf numFmtId="0" fontId="14" fillId="18" borderId="0" xfId="3" applyFont="1" applyFill="1" applyBorder="1" applyAlignment="1" applyProtection="1">
      <alignment horizontal="center" vertical="center"/>
    </xf>
    <xf numFmtId="171" fontId="14" fillId="18" borderId="57" xfId="5" applyNumberFormat="1" applyFont="1" applyFill="1" applyBorder="1" applyAlignment="1" applyProtection="1">
      <alignment horizontal="right" vertical="center" indent="1"/>
    </xf>
    <xf numFmtId="0" fontId="33" fillId="5" borderId="27" xfId="3" applyFont="1" applyFill="1" applyBorder="1" applyAlignment="1" applyProtection="1">
      <alignment vertical="center"/>
    </xf>
    <xf numFmtId="0" fontId="6" fillId="5" borderId="0" xfId="3" applyFont="1" applyFill="1" applyBorder="1" applyAlignment="1" applyProtection="1">
      <alignment horizontal="right" vertical="center"/>
    </xf>
    <xf numFmtId="173" fontId="6" fillId="5" borderId="0" xfId="3" applyNumberFormat="1" applyFont="1" applyFill="1" applyBorder="1" applyAlignment="1" applyProtection="1">
      <alignment horizontal="center" vertical="center" wrapText="1"/>
    </xf>
    <xf numFmtId="0" fontId="32" fillId="5" borderId="0" xfId="0" applyFont="1" applyFill="1" applyBorder="1" applyProtection="1"/>
    <xf numFmtId="0" fontId="11" fillId="5" borderId="0" xfId="0" applyFont="1" applyFill="1" applyBorder="1" applyProtection="1"/>
    <xf numFmtId="0" fontId="13" fillId="0" borderId="0" xfId="0" applyFont="1" applyProtection="1"/>
    <xf numFmtId="0" fontId="40" fillId="11" borderId="0" xfId="0" applyFont="1" applyFill="1" applyBorder="1" applyAlignment="1" applyProtection="1">
      <alignment horizontal="left" wrapText="1"/>
    </xf>
    <xf numFmtId="0" fontId="32" fillId="0" borderId="0" xfId="0" applyFont="1" applyProtection="1"/>
    <xf numFmtId="0" fontId="0" fillId="0" borderId="0" xfId="0" applyAlignment="1" applyProtection="1">
      <alignment horizontal="left" vertical="center"/>
    </xf>
    <xf numFmtId="0" fontId="0" fillId="0" borderId="0" xfId="0" applyAlignment="1" applyProtection="1">
      <alignment horizontal="left"/>
    </xf>
    <xf numFmtId="0" fontId="7" fillId="0" borderId="0" xfId="0" applyFont="1" applyAlignment="1" applyProtection="1">
      <alignment horizontal="left"/>
    </xf>
    <xf numFmtId="0" fontId="34" fillId="26" borderId="18" xfId="3" applyFont="1" applyFill="1" applyBorder="1" applyAlignment="1" applyProtection="1">
      <alignment horizontal="center" vertical="center" wrapText="1"/>
    </xf>
    <xf numFmtId="4" fontId="13" fillId="9" borderId="3" xfId="0" applyNumberFormat="1" applyFont="1" applyFill="1" applyBorder="1" applyAlignment="1" applyProtection="1">
      <alignment horizontal="right" vertical="center" indent="1"/>
    </xf>
    <xf numFmtId="10" fontId="18" fillId="9" borderId="3" xfId="0" applyNumberFormat="1" applyFont="1" applyFill="1" applyBorder="1" applyAlignment="1" applyProtection="1">
      <alignment horizontal="justify" vertical="center"/>
    </xf>
    <xf numFmtId="171" fontId="14" fillId="0" borderId="1" xfId="0" applyNumberFormat="1" applyFont="1" applyFill="1" applyBorder="1" applyAlignment="1" applyProtection="1">
      <alignment horizontal="right" vertical="center" indent="1"/>
    </xf>
    <xf numFmtId="171" fontId="13" fillId="0" borderId="16" xfId="0" applyNumberFormat="1" applyFont="1" applyFill="1" applyBorder="1" applyAlignment="1" applyProtection="1">
      <alignment horizontal="right" vertical="center" indent="1"/>
    </xf>
    <xf numFmtId="4" fontId="13" fillId="0" borderId="16" xfId="0" applyNumberFormat="1" applyFont="1" applyFill="1" applyBorder="1" applyAlignment="1" applyProtection="1">
      <alignment horizontal="right" vertical="center" indent="1"/>
    </xf>
    <xf numFmtId="10" fontId="18" fillId="29" borderId="3" xfId="0" applyNumberFormat="1" applyFont="1" applyFill="1" applyBorder="1" applyAlignment="1" applyProtection="1">
      <alignment horizontal="justify" vertical="center"/>
    </xf>
    <xf numFmtId="10" fontId="18" fillId="28" borderId="3" xfId="0" applyNumberFormat="1" applyFont="1" applyFill="1" applyBorder="1" applyAlignment="1" applyProtection="1">
      <alignment horizontal="justify" vertical="center" wrapText="1"/>
    </xf>
    <xf numFmtId="10" fontId="31" fillId="11" borderId="0" xfId="0" applyNumberFormat="1" applyFont="1" applyFill="1" applyBorder="1" applyAlignment="1" applyProtection="1">
      <alignment horizontal="right"/>
    </xf>
    <xf numFmtId="0" fontId="13" fillId="0" borderId="0" xfId="3" applyFont="1" applyFill="1" applyAlignment="1" applyProtection="1">
      <alignment horizontal="left" vertical="center"/>
    </xf>
    <xf numFmtId="4" fontId="13" fillId="0" borderId="0" xfId="3" applyNumberFormat="1" applyFont="1" applyFill="1" applyBorder="1" applyAlignment="1" applyProtection="1">
      <alignment vertical="center"/>
    </xf>
    <xf numFmtId="0" fontId="13" fillId="0" borderId="0" xfId="3" applyFont="1" applyFill="1" applyAlignment="1" applyProtection="1">
      <alignment vertical="center"/>
    </xf>
    <xf numFmtId="0" fontId="13" fillId="0" borderId="0" xfId="3" applyFont="1" applyAlignment="1" applyProtection="1">
      <alignment vertical="center"/>
    </xf>
    <xf numFmtId="4" fontId="13" fillId="8" borderId="0" xfId="0" applyNumberFormat="1" applyFont="1" applyFill="1" applyBorder="1" applyAlignment="1" applyProtection="1">
      <alignment horizontal="center" vertical="center"/>
    </xf>
    <xf numFmtId="4" fontId="13" fillId="8" borderId="0" xfId="0" applyNumberFormat="1" applyFont="1" applyFill="1" applyBorder="1" applyAlignment="1" applyProtection="1">
      <alignment vertical="center"/>
    </xf>
    <xf numFmtId="0" fontId="20" fillId="0" borderId="0" xfId="0" applyFont="1" applyProtection="1"/>
    <xf numFmtId="0" fontId="13" fillId="5" borderId="0" xfId="3" applyFont="1" applyFill="1" applyAlignment="1" applyProtection="1">
      <alignment vertical="center"/>
    </xf>
    <xf numFmtId="0" fontId="13" fillId="5" borderId="0" xfId="3" applyFont="1" applyFill="1" applyAlignment="1" applyProtection="1">
      <alignment vertical="center" wrapText="1"/>
    </xf>
    <xf numFmtId="0" fontId="13" fillId="0" borderId="0" xfId="0" applyFont="1" applyAlignment="1" applyProtection="1">
      <alignment horizontal="left" vertical="center"/>
    </xf>
    <xf numFmtId="0" fontId="14" fillId="0" borderId="0" xfId="3" applyFont="1" applyFill="1" applyAlignment="1" applyProtection="1">
      <alignment vertical="center"/>
    </xf>
    <xf numFmtId="2" fontId="13" fillId="0" borderId="0" xfId="3" applyNumberFormat="1" applyFont="1" applyFill="1" applyAlignment="1" applyProtection="1">
      <alignment vertical="center"/>
    </xf>
    <xf numFmtId="0" fontId="14" fillId="18" borderId="0" xfId="0" applyFont="1" applyFill="1" applyBorder="1" applyAlignment="1" applyProtection="1">
      <alignment vertical="center" wrapText="1"/>
    </xf>
    <xf numFmtId="0" fontId="14" fillId="5" borderId="0" xfId="3" applyFont="1" applyFill="1" applyBorder="1" applyAlignment="1" applyProtection="1">
      <alignment vertical="center" wrapText="1"/>
    </xf>
    <xf numFmtId="0" fontId="30" fillId="14" borderId="0" xfId="0" applyFont="1" applyFill="1" applyProtection="1"/>
    <xf numFmtId="4" fontId="30" fillId="31" borderId="3" xfId="0" applyNumberFormat="1" applyFont="1" applyFill="1" applyBorder="1" applyAlignment="1" applyProtection="1">
      <alignment horizontal="center" vertical="center"/>
    </xf>
    <xf numFmtId="4" fontId="23" fillId="32" borderId="3" xfId="0" applyNumberFormat="1" applyFont="1" applyFill="1" applyBorder="1" applyAlignment="1" applyProtection="1">
      <alignment horizontal="center" vertical="center"/>
    </xf>
    <xf numFmtId="0" fontId="45" fillId="5" borderId="20" xfId="0" applyFont="1" applyFill="1" applyBorder="1" applyAlignment="1" applyProtection="1">
      <alignment horizontal="center" vertical="center"/>
    </xf>
    <xf numFmtId="4" fontId="45" fillId="5" borderId="20" xfId="0" applyNumberFormat="1" applyFont="1" applyFill="1" applyBorder="1" applyAlignment="1" applyProtection="1">
      <alignment horizontal="left" vertical="center" wrapText="1"/>
    </xf>
    <xf numFmtId="4" fontId="30" fillId="31" borderId="20" xfId="0" applyNumberFormat="1" applyFont="1" applyFill="1" applyBorder="1" applyAlignment="1" applyProtection="1">
      <alignment horizontal="center" vertical="center"/>
    </xf>
    <xf numFmtId="4" fontId="23" fillId="0" borderId="20" xfId="0" applyNumberFormat="1" applyFont="1" applyFill="1" applyBorder="1" applyAlignment="1" applyProtection="1">
      <alignment horizontal="center" vertical="center"/>
    </xf>
    <xf numFmtId="4" fontId="30" fillId="31" borderId="0" xfId="0" applyNumberFormat="1" applyFont="1" applyFill="1" applyBorder="1" applyAlignment="1" applyProtection="1">
      <alignment horizontal="left" vertical="center"/>
    </xf>
    <xf numFmtId="2" fontId="30" fillId="5" borderId="0" xfId="0" applyNumberFormat="1" applyFont="1" applyFill="1" applyBorder="1" applyAlignment="1" applyProtection="1">
      <alignment horizontal="center" vertical="center"/>
    </xf>
    <xf numFmtId="4" fontId="30" fillId="31" borderId="0" xfId="0" applyNumberFormat="1" applyFont="1" applyFill="1" applyBorder="1" applyAlignment="1" applyProtection="1">
      <alignment horizontal="center" vertical="center"/>
    </xf>
    <xf numFmtId="4" fontId="23" fillId="0" borderId="0" xfId="0" applyNumberFormat="1" applyFont="1" applyFill="1" applyBorder="1" applyAlignment="1" applyProtection="1">
      <alignment horizontal="center" vertical="center"/>
    </xf>
    <xf numFmtId="0" fontId="13" fillId="5" borderId="0" xfId="3" applyFont="1" applyFill="1" applyBorder="1" applyAlignment="1" applyProtection="1">
      <alignment horizontal="right" vertical="center"/>
    </xf>
    <xf numFmtId="0" fontId="13" fillId="5" borderId="0" xfId="3" applyFont="1" applyFill="1" applyProtection="1"/>
    <xf numFmtId="0" fontId="14" fillId="5" borderId="0" xfId="3" applyFont="1" applyFill="1" applyBorder="1" applyAlignment="1" applyProtection="1">
      <alignment horizontal="center" vertical="center"/>
    </xf>
    <xf numFmtId="0" fontId="14" fillId="5" borderId="34" xfId="3" applyFont="1" applyFill="1" applyBorder="1" applyAlignment="1" applyProtection="1">
      <alignment horizontal="center" vertical="center"/>
    </xf>
    <xf numFmtId="0" fontId="14" fillId="5" borderId="0" xfId="3" applyFont="1" applyFill="1" applyBorder="1" applyAlignment="1" applyProtection="1">
      <alignment horizontal="center" vertical="center" wrapText="1"/>
    </xf>
    <xf numFmtId="0" fontId="13" fillId="5" borderId="0" xfId="3" applyFont="1" applyFill="1" applyBorder="1" applyAlignment="1" applyProtection="1">
      <alignment horizontal="center" wrapText="1"/>
    </xf>
    <xf numFmtId="10" fontId="13" fillId="5" borderId="2" xfId="2" applyNumberFormat="1" applyFont="1" applyFill="1" applyBorder="1" applyAlignment="1" applyProtection="1">
      <alignment horizontal="center" vertical="center" wrapText="1"/>
    </xf>
    <xf numFmtId="4" fontId="11" fillId="0" borderId="3" xfId="3" applyNumberFormat="1" applyFont="1" applyFill="1" applyBorder="1" applyAlignment="1" applyProtection="1">
      <alignment horizontal="right" vertical="center" indent="1"/>
    </xf>
    <xf numFmtId="4" fontId="11" fillId="5" borderId="3" xfId="3" applyNumberFormat="1" applyFont="1" applyFill="1" applyBorder="1" applyAlignment="1" applyProtection="1">
      <alignment horizontal="right" vertical="center" indent="1"/>
    </xf>
    <xf numFmtId="4" fontId="13" fillId="5" borderId="3" xfId="3" applyNumberFormat="1" applyFont="1" applyFill="1" applyBorder="1" applyAlignment="1" applyProtection="1">
      <alignment horizontal="right" vertical="center" indent="1"/>
    </xf>
    <xf numFmtId="0" fontId="11" fillId="5" borderId="0" xfId="3" applyFont="1" applyFill="1" applyBorder="1" applyAlignment="1" applyProtection="1">
      <alignment horizontal="center" vertical="center"/>
    </xf>
    <xf numFmtId="4" fontId="11" fillId="5" borderId="0" xfId="3" applyNumberFormat="1" applyFont="1" applyFill="1" applyBorder="1" applyAlignment="1" applyProtection="1">
      <alignment horizontal="left" vertical="center" wrapText="1"/>
    </xf>
    <xf numFmtId="4" fontId="11" fillId="5" borderId="0" xfId="3" applyNumberFormat="1" applyFont="1" applyFill="1" applyBorder="1" applyAlignment="1" applyProtection="1">
      <alignment horizontal="right" vertical="center" indent="1"/>
    </xf>
    <xf numFmtId="4" fontId="13" fillId="5" borderId="0" xfId="3" applyNumberFormat="1" applyFont="1" applyFill="1" applyBorder="1" applyAlignment="1" applyProtection="1">
      <alignment horizontal="right" vertical="center" indent="1"/>
    </xf>
    <xf numFmtId="166" fontId="14" fillId="5" borderId="0" xfId="3" applyNumberFormat="1" applyFont="1" applyFill="1" applyBorder="1" applyAlignment="1" applyProtection="1">
      <alignment horizontal="right" vertical="center" indent="1"/>
    </xf>
    <xf numFmtId="0" fontId="30" fillId="0" borderId="0" xfId="0" applyFont="1" applyBorder="1" applyProtection="1"/>
    <xf numFmtId="0" fontId="23" fillId="0" borderId="0" xfId="0" applyFont="1" applyBorder="1" applyAlignment="1" applyProtection="1">
      <alignment horizontal="center" vertical="center" wrapText="1"/>
    </xf>
    <xf numFmtId="4" fontId="30" fillId="0" borderId="0" xfId="0" applyNumberFormat="1" applyFont="1" applyBorder="1" applyAlignment="1" applyProtection="1">
      <alignment vertical="center"/>
    </xf>
    <xf numFmtId="0" fontId="30" fillId="0" borderId="0" xfId="0" applyFont="1" applyProtection="1"/>
    <xf numFmtId="4" fontId="13" fillId="0" borderId="0" xfId="0" applyNumberFormat="1" applyFont="1" applyBorder="1" applyAlignment="1" applyProtection="1">
      <alignment vertical="center"/>
    </xf>
    <xf numFmtId="0" fontId="13" fillId="0" borderId="3" xfId="3" applyFont="1" applyBorder="1" applyAlignment="1" applyProtection="1">
      <alignment horizontal="left" vertical="center"/>
    </xf>
    <xf numFmtId="49" fontId="13" fillId="0" borderId="0" xfId="3" applyNumberFormat="1" applyFont="1" applyFill="1" applyBorder="1" applyAlignment="1" applyProtection="1">
      <alignment horizontal="center" wrapText="1"/>
    </xf>
    <xf numFmtId="0" fontId="14" fillId="0" borderId="17" xfId="3" applyFont="1" applyBorder="1" applyAlignment="1" applyProtection="1">
      <alignment horizontal="center" vertical="center"/>
    </xf>
    <xf numFmtId="0" fontId="13" fillId="2" borderId="3" xfId="3" applyFont="1" applyFill="1" applyBorder="1" applyAlignment="1" applyProtection="1">
      <alignment horizontal="center" vertical="center"/>
    </xf>
    <xf numFmtId="0" fontId="13" fillId="2" borderId="3" xfId="3" applyFont="1" applyFill="1" applyBorder="1" applyAlignment="1" applyProtection="1">
      <alignment horizontal="left" vertical="center"/>
    </xf>
    <xf numFmtId="0" fontId="14" fillId="4" borderId="3" xfId="3" applyFont="1" applyFill="1" applyBorder="1" applyAlignment="1" applyProtection="1">
      <alignment horizontal="center" vertical="center"/>
    </xf>
    <xf numFmtId="164" fontId="14" fillId="5" borderId="3" xfId="1" applyFont="1" applyFill="1" applyBorder="1" applyAlignment="1" applyProtection="1">
      <alignment horizontal="right" vertical="center" indent="3"/>
    </xf>
    <xf numFmtId="0" fontId="28" fillId="0" borderId="0" xfId="0" applyFont="1" applyFill="1" applyBorder="1" applyProtection="1"/>
    <xf numFmtId="0" fontId="20" fillId="15" borderId="0" xfId="0" applyFont="1" applyFill="1" applyBorder="1" applyProtection="1"/>
    <xf numFmtId="0" fontId="13" fillId="0" borderId="0" xfId="0" applyFont="1" applyBorder="1" applyAlignment="1" applyProtection="1"/>
    <xf numFmtId="0" fontId="48" fillId="11" borderId="0" xfId="0" applyFont="1" applyFill="1" applyBorder="1" applyAlignment="1" applyProtection="1">
      <alignment vertical="center" wrapText="1"/>
    </xf>
    <xf numFmtId="0" fontId="4" fillId="0" borderId="0" xfId="0" applyFont="1" applyProtection="1"/>
    <xf numFmtId="0" fontId="48" fillId="11" borderId="0" xfId="0" applyFont="1" applyFill="1" applyBorder="1" applyAlignment="1" applyProtection="1">
      <alignment horizontal="left" vertical="center" wrapText="1"/>
    </xf>
    <xf numFmtId="4" fontId="11" fillId="11" borderId="0" xfId="0" applyNumberFormat="1" applyFont="1" applyFill="1" applyBorder="1" applyAlignment="1" applyProtection="1">
      <alignment horizontal="center" vertical="center"/>
    </xf>
    <xf numFmtId="4" fontId="11" fillId="11" borderId="0" xfId="0" applyNumberFormat="1" applyFont="1" applyFill="1" applyBorder="1" applyAlignment="1" applyProtection="1">
      <alignment horizontal="right" vertical="center"/>
    </xf>
    <xf numFmtId="4" fontId="11" fillId="0" borderId="0" xfId="0" applyNumberFormat="1" applyFont="1" applyAlignment="1" applyProtection="1">
      <alignment horizontal="right" vertical="center" wrapText="1"/>
    </xf>
    <xf numFmtId="0" fontId="4" fillId="0" borderId="0" xfId="0" applyFont="1" applyAlignment="1" applyProtection="1">
      <alignment horizontal="right"/>
    </xf>
    <xf numFmtId="0" fontId="4" fillId="11" borderId="0" xfId="0" applyFont="1" applyFill="1" applyBorder="1" applyAlignment="1" applyProtection="1">
      <alignment horizontal="right"/>
    </xf>
    <xf numFmtId="1" fontId="49" fillId="11" borderId="0" xfId="0" applyNumberFormat="1" applyFont="1" applyFill="1" applyAlignment="1" applyProtection="1">
      <alignment horizontal="right" vertical="center"/>
    </xf>
    <xf numFmtId="166" fontId="49" fillId="11" borderId="0" xfId="0" applyNumberFormat="1" applyFont="1" applyFill="1" applyBorder="1" applyAlignment="1" applyProtection="1">
      <alignment horizontal="center" vertical="center" wrapText="1"/>
    </xf>
    <xf numFmtId="166" fontId="11" fillId="0" borderId="0" xfId="0" applyNumberFormat="1" applyFont="1" applyAlignment="1" applyProtection="1">
      <alignment horizontal="center" vertical="center" wrapText="1"/>
    </xf>
    <xf numFmtId="0" fontId="48" fillId="11" borderId="0" xfId="0" applyFont="1" applyFill="1" applyAlignment="1" applyProtection="1">
      <alignment horizontal="left" vertical="center" wrapText="1"/>
    </xf>
    <xf numFmtId="0" fontId="48" fillId="11" borderId="0" xfId="0" applyFont="1" applyFill="1" applyAlignment="1" applyProtection="1">
      <alignment vertical="center" wrapText="1"/>
    </xf>
    <xf numFmtId="0" fontId="11" fillId="0" borderId="0" xfId="0" applyFont="1" applyAlignment="1" applyProtection="1">
      <alignment vertical="center"/>
    </xf>
    <xf numFmtId="0" fontId="4" fillId="0" borderId="0" xfId="0" applyFont="1" applyBorder="1" applyProtection="1"/>
    <xf numFmtId="0" fontId="11" fillId="0" borderId="0" xfId="0" applyFont="1" applyProtection="1"/>
    <xf numFmtId="0" fontId="31" fillId="11" borderId="0" xfId="0" applyFont="1" applyFill="1" applyBorder="1" applyAlignment="1" applyProtection="1">
      <alignment vertical="center" wrapText="1"/>
    </xf>
    <xf numFmtId="0" fontId="13" fillId="0" borderId="0" xfId="0" applyFont="1" applyAlignment="1" applyProtection="1">
      <alignment vertical="center"/>
    </xf>
    <xf numFmtId="0" fontId="24" fillId="15" borderId="0" xfId="0" applyFont="1" applyFill="1" applyBorder="1" applyAlignment="1" applyProtection="1">
      <alignment vertical="center"/>
    </xf>
    <xf numFmtId="10" fontId="20" fillId="15" borderId="41" xfId="0" applyNumberFormat="1" applyFont="1" applyFill="1" applyBorder="1" applyAlignment="1" applyProtection="1">
      <alignment horizontal="center" vertical="center" wrapText="1"/>
    </xf>
    <xf numFmtId="10" fontId="13" fillId="0" borderId="44" xfId="0" applyNumberFormat="1" applyFont="1" applyFill="1" applyBorder="1" applyAlignment="1" applyProtection="1">
      <alignment horizontal="center"/>
    </xf>
    <xf numFmtId="0" fontId="20" fillId="0" borderId="39" xfId="0" applyFont="1" applyFill="1" applyBorder="1" applyAlignment="1" applyProtection="1">
      <alignment horizontal="center" vertical="center"/>
    </xf>
    <xf numFmtId="0" fontId="20" fillId="0" borderId="39" xfId="0" applyFont="1" applyFill="1" applyBorder="1" applyAlignment="1" applyProtection="1">
      <alignment horizontal="left" vertical="center" wrapText="1"/>
    </xf>
    <xf numFmtId="0" fontId="20" fillId="0" borderId="44" xfId="0" applyFont="1" applyFill="1" applyBorder="1" applyAlignment="1" applyProtection="1">
      <alignment horizontal="center" vertical="center" wrapText="1"/>
    </xf>
    <xf numFmtId="4" fontId="20" fillId="0" borderId="39" xfId="0" applyNumberFormat="1" applyFont="1" applyFill="1" applyBorder="1" applyAlignment="1" applyProtection="1">
      <alignment horizontal="center" vertical="center"/>
    </xf>
    <xf numFmtId="4" fontId="20" fillId="17" borderId="44" xfId="0" applyNumberFormat="1" applyFont="1" applyFill="1" applyBorder="1" applyAlignment="1" applyProtection="1">
      <alignment horizontal="center" vertical="center"/>
    </xf>
    <xf numFmtId="4" fontId="20" fillId="15" borderId="39" xfId="0" applyNumberFormat="1" applyFont="1" applyFill="1" applyBorder="1" applyAlignment="1" applyProtection="1">
      <alignment horizontal="center" vertical="center"/>
    </xf>
    <xf numFmtId="4" fontId="20" fillId="17" borderId="45" xfId="0" applyNumberFormat="1" applyFont="1" applyFill="1" applyBorder="1" applyAlignment="1" applyProtection="1">
      <alignment horizontal="center" vertical="center"/>
    </xf>
    <xf numFmtId="4" fontId="20" fillId="17" borderId="39" xfId="0" applyNumberFormat="1" applyFont="1" applyFill="1" applyBorder="1" applyAlignment="1" applyProtection="1">
      <alignment horizontal="center" vertical="center"/>
    </xf>
    <xf numFmtId="0" fontId="20" fillId="0" borderId="0" xfId="0" applyFont="1" applyFill="1" applyBorder="1" applyAlignment="1" applyProtection="1">
      <alignment horizontal="center" vertical="center" wrapText="1"/>
    </xf>
    <xf numFmtId="166" fontId="29" fillId="0" borderId="0" xfId="0" applyNumberFormat="1" applyFont="1" applyFill="1" applyBorder="1" applyAlignment="1" applyProtection="1">
      <alignment horizontal="center" vertical="center"/>
    </xf>
    <xf numFmtId="166" fontId="45" fillId="0" borderId="0" xfId="0" applyNumberFormat="1" applyFont="1" applyFill="1" applyBorder="1" applyAlignment="1" applyProtection="1">
      <alignment horizontal="center" vertical="center"/>
    </xf>
    <xf numFmtId="166" fontId="45" fillId="15" borderId="0" xfId="0" applyNumberFormat="1" applyFont="1" applyFill="1" applyBorder="1" applyAlignment="1" applyProtection="1">
      <alignment horizontal="center" vertical="center"/>
    </xf>
    <xf numFmtId="4" fontId="24" fillId="15" borderId="0" xfId="0" applyNumberFormat="1" applyFont="1" applyFill="1" applyBorder="1" applyAlignment="1" applyProtection="1">
      <alignment horizontal="right" vertical="center"/>
    </xf>
    <xf numFmtId="0" fontId="45" fillId="15" borderId="0" xfId="0" applyFont="1" applyFill="1" applyBorder="1" applyAlignment="1" applyProtection="1">
      <alignment horizontal="left" vertical="center" wrapText="1"/>
    </xf>
    <xf numFmtId="164" fontId="29" fillId="15" borderId="0" xfId="0" applyNumberFormat="1" applyFont="1" applyFill="1" applyBorder="1" applyAlignment="1" applyProtection="1">
      <alignment horizontal="center" vertical="center"/>
    </xf>
    <xf numFmtId="4" fontId="45" fillId="15" borderId="0" xfId="0" applyNumberFormat="1" applyFont="1" applyFill="1" applyBorder="1" applyAlignment="1" applyProtection="1">
      <alignment horizontal="center" vertical="center"/>
    </xf>
    <xf numFmtId="3" fontId="20" fillId="0" borderId="0" xfId="0" applyNumberFormat="1" applyFont="1" applyFill="1" applyBorder="1" applyAlignment="1" applyProtection="1">
      <alignment horizontal="center" vertical="center"/>
    </xf>
    <xf numFmtId="4" fontId="28" fillId="0" borderId="0" xfId="0" applyNumberFormat="1" applyFont="1" applyFill="1" applyBorder="1" applyProtection="1"/>
    <xf numFmtId="0" fontId="24" fillId="15" borderId="0" xfId="0" applyFont="1" applyFill="1" applyBorder="1" applyAlignment="1" applyProtection="1">
      <alignment horizontal="center" vertical="center"/>
    </xf>
    <xf numFmtId="10" fontId="18" fillId="0" borderId="41" xfId="0" applyNumberFormat="1" applyFont="1" applyFill="1" applyBorder="1" applyAlignment="1" applyProtection="1">
      <alignment horizontal="center" vertical="center" wrapText="1"/>
    </xf>
    <xf numFmtId="0" fontId="18" fillId="0" borderId="41" xfId="0" applyFont="1" applyFill="1" applyBorder="1" applyAlignment="1" applyProtection="1">
      <alignment horizontal="center" vertical="center" wrapText="1"/>
    </xf>
    <xf numFmtId="0" fontId="25" fillId="0" borderId="41" xfId="0" applyFont="1" applyFill="1" applyBorder="1" applyAlignment="1" applyProtection="1">
      <alignment horizontal="center" vertical="center" wrapText="1"/>
    </xf>
    <xf numFmtId="0" fontId="18" fillId="0" borderId="41" xfId="0" applyFont="1" applyFill="1" applyBorder="1" applyAlignment="1" applyProtection="1">
      <alignment horizontal="left" vertical="center" wrapText="1"/>
    </xf>
    <xf numFmtId="10" fontId="18" fillId="15" borderId="0" xfId="0" applyNumberFormat="1" applyFont="1" applyFill="1" applyBorder="1" applyAlignment="1" applyProtection="1">
      <alignment horizontal="left" vertical="center"/>
    </xf>
    <xf numFmtId="10" fontId="18" fillId="0" borderId="0" xfId="0" applyNumberFormat="1" applyFont="1" applyFill="1" applyBorder="1" applyAlignment="1" applyProtection="1">
      <alignment horizontal="left" vertical="center"/>
    </xf>
    <xf numFmtId="4" fontId="13" fillId="0" borderId="0" xfId="0" applyNumberFormat="1" applyFont="1" applyFill="1" applyBorder="1" applyProtection="1"/>
    <xf numFmtId="165" fontId="20" fillId="15" borderId="0" xfId="0" applyNumberFormat="1" applyFont="1" applyFill="1" applyBorder="1" applyAlignment="1" applyProtection="1">
      <alignment horizontal="center" vertical="center"/>
    </xf>
    <xf numFmtId="0" fontId="21" fillId="15" borderId="0" xfId="0" applyFont="1" applyFill="1" applyBorder="1" applyAlignment="1" applyProtection="1">
      <alignment vertical="center"/>
    </xf>
    <xf numFmtId="0" fontId="26" fillId="15" borderId="0" xfId="0" applyFont="1" applyFill="1" applyBorder="1" applyAlignment="1" applyProtection="1">
      <alignment horizontal="right" vertical="center" wrapText="1"/>
    </xf>
    <xf numFmtId="4" fontId="27" fillId="0" borderId="0" xfId="0" applyNumberFormat="1" applyFont="1" applyFill="1" applyBorder="1" applyAlignment="1" applyProtection="1">
      <alignment horizontal="right" vertical="center" wrapText="1"/>
    </xf>
    <xf numFmtId="10" fontId="21" fillId="15" borderId="0" xfId="0" applyNumberFormat="1" applyFont="1" applyFill="1" applyBorder="1" applyAlignment="1" applyProtection="1">
      <alignment horizontal="left" vertical="center"/>
    </xf>
    <xf numFmtId="10" fontId="21" fillId="0" borderId="0" xfId="0" applyNumberFormat="1" applyFont="1" applyFill="1" applyBorder="1" applyAlignment="1" applyProtection="1">
      <alignment horizontal="left" vertical="center"/>
    </xf>
    <xf numFmtId="0" fontId="21" fillId="0" borderId="41" xfId="0" applyFont="1" applyFill="1" applyBorder="1" applyAlignment="1" applyProtection="1">
      <alignment horizontal="center" vertical="center" wrapText="1"/>
    </xf>
    <xf numFmtId="0" fontId="22" fillId="0" borderId="4" xfId="0" applyFont="1" applyFill="1" applyBorder="1" applyAlignment="1" applyProtection="1">
      <alignment vertical="center" wrapText="1"/>
    </xf>
    <xf numFmtId="0" fontId="21" fillId="0" borderId="4" xfId="0" quotePrefix="1" applyFont="1" applyFill="1" applyBorder="1" applyAlignment="1" applyProtection="1">
      <alignment vertical="center" wrapText="1"/>
    </xf>
    <xf numFmtId="0" fontId="21" fillId="0" borderId="3" xfId="0" applyFont="1" applyFill="1" applyBorder="1" applyAlignment="1" applyProtection="1">
      <alignment vertical="center" wrapText="1"/>
    </xf>
    <xf numFmtId="0" fontId="29" fillId="15" borderId="0" xfId="0" applyFont="1" applyFill="1" applyBorder="1" applyAlignment="1" applyProtection="1">
      <alignment horizontal="right" vertical="center" wrapText="1"/>
    </xf>
    <xf numFmtId="4" fontId="24" fillId="0" borderId="0" xfId="0" applyNumberFormat="1" applyFont="1" applyFill="1" applyBorder="1" applyAlignment="1" applyProtection="1">
      <alignment horizontal="center" vertical="center" wrapText="1"/>
    </xf>
    <xf numFmtId="10" fontId="18" fillId="0" borderId="41" xfId="0" applyNumberFormat="1" applyFont="1" applyFill="1" applyBorder="1" applyAlignment="1" applyProtection="1">
      <alignment horizontal="left" vertical="center" wrapText="1"/>
    </xf>
    <xf numFmtId="165" fontId="13" fillId="0" borderId="0" xfId="0" applyNumberFormat="1" applyFont="1" applyFill="1" applyBorder="1" applyProtection="1"/>
    <xf numFmtId="0" fontId="14" fillId="9" borderId="3" xfId="0" applyFont="1" applyFill="1" applyBorder="1" applyAlignment="1" applyProtection="1">
      <alignment horizontal="center" vertical="center"/>
    </xf>
    <xf numFmtId="0" fontId="13" fillId="9" borderId="3" xfId="0" applyFont="1" applyFill="1" applyBorder="1" applyAlignment="1" applyProtection="1">
      <alignment horizontal="center" vertical="center"/>
    </xf>
    <xf numFmtId="168" fontId="20" fillId="9" borderId="3" xfId="0" applyNumberFormat="1" applyFont="1" applyFill="1" applyBorder="1" applyAlignment="1" applyProtection="1">
      <alignment horizontal="center" vertical="center"/>
    </xf>
    <xf numFmtId="4" fontId="13" fillId="9" borderId="4" xfId="0" applyNumberFormat="1" applyFont="1" applyFill="1" applyBorder="1" applyAlignment="1" applyProtection="1">
      <alignment horizontal="right" vertical="center" indent="1"/>
    </xf>
    <xf numFmtId="165" fontId="13" fillId="27" borderId="4" xfId="0" applyNumberFormat="1" applyFont="1" applyFill="1" applyBorder="1" applyAlignment="1" applyProtection="1">
      <alignment horizontal="right" vertical="center" indent="1"/>
    </xf>
    <xf numFmtId="165" fontId="13" fillId="28" borderId="4" xfId="0" applyNumberFormat="1" applyFont="1" applyFill="1" applyBorder="1" applyAlignment="1" applyProtection="1">
      <alignment horizontal="right" vertical="center" indent="1"/>
    </xf>
    <xf numFmtId="171" fontId="13" fillId="28" borderId="3" xfId="0" applyNumberFormat="1" applyFont="1" applyFill="1" applyBorder="1" applyAlignment="1" applyProtection="1">
      <alignment horizontal="right" vertical="center" indent="1"/>
    </xf>
    <xf numFmtId="4" fontId="13" fillId="27" borderId="1" xfId="0" applyNumberFormat="1" applyFont="1" applyFill="1" applyBorder="1" applyAlignment="1" applyProtection="1">
      <alignment horizontal="right" vertical="center" indent="1"/>
    </xf>
    <xf numFmtId="4" fontId="13" fillId="34" borderId="1" xfId="0" applyNumberFormat="1" applyFont="1" applyFill="1" applyBorder="1" applyAlignment="1" applyProtection="1">
      <alignment horizontal="right" vertical="center" indent="1"/>
    </xf>
    <xf numFmtId="0" fontId="13" fillId="0" borderId="0" xfId="3" applyFont="1" applyFill="1" applyProtection="1"/>
    <xf numFmtId="0" fontId="13" fillId="0" borderId="0" xfId="3" applyFont="1" applyProtection="1"/>
    <xf numFmtId="0" fontId="13" fillId="9" borderId="3" xfId="3" applyNumberFormat="1" applyFont="1" applyFill="1" applyBorder="1" applyAlignment="1" applyProtection="1">
      <alignment horizontal="center" vertical="center" wrapText="1"/>
    </xf>
    <xf numFmtId="49" fontId="13" fillId="9" borderId="3" xfId="3" applyNumberFormat="1" applyFont="1" applyFill="1" applyBorder="1" applyAlignment="1" applyProtection="1">
      <alignment horizontal="center" vertical="center" wrapText="1"/>
    </xf>
    <xf numFmtId="14" fontId="13" fillId="9" borderId="3" xfId="3" applyNumberFormat="1" applyFont="1" applyFill="1" applyBorder="1" applyAlignment="1" applyProtection="1">
      <alignment horizontal="center" vertical="center" wrapText="1"/>
    </xf>
    <xf numFmtId="4" fontId="13" fillId="0" borderId="0" xfId="3" applyNumberFormat="1" applyFont="1" applyFill="1" applyBorder="1" applyAlignment="1" applyProtection="1">
      <alignment horizontal="center" vertical="center"/>
    </xf>
    <xf numFmtId="0" fontId="11" fillId="11" borderId="0" xfId="0" applyFont="1" applyFill="1" applyBorder="1" applyAlignment="1" applyProtection="1">
      <alignment horizontal="center" vertical="center"/>
    </xf>
    <xf numFmtId="4" fontId="11" fillId="11" borderId="0" xfId="0" applyNumberFormat="1" applyFont="1" applyFill="1" applyBorder="1" applyAlignment="1" applyProtection="1">
      <alignment horizontal="left" vertical="center" wrapText="1"/>
    </xf>
    <xf numFmtId="166" fontId="31" fillId="11" borderId="0" xfId="0" applyNumberFormat="1" applyFont="1" applyFill="1" applyBorder="1" applyAlignment="1" applyProtection="1">
      <alignment horizontal="center" vertical="center"/>
    </xf>
    <xf numFmtId="4" fontId="31" fillId="11" borderId="0" xfId="0" applyNumberFormat="1" applyFont="1" applyFill="1" applyBorder="1" applyAlignment="1" applyProtection="1">
      <alignment horizontal="center" vertical="center"/>
    </xf>
    <xf numFmtId="0" fontId="31" fillId="0" borderId="0" xfId="0" applyFont="1" applyAlignment="1" applyProtection="1">
      <alignment horizontal="center" vertical="center" wrapText="1"/>
    </xf>
    <xf numFmtId="4" fontId="11" fillId="0" borderId="0" xfId="0" applyNumberFormat="1" applyFont="1" applyAlignment="1" applyProtection="1">
      <alignment vertical="center"/>
    </xf>
    <xf numFmtId="0" fontId="13" fillId="0" borderId="0" xfId="3" applyFont="1" applyAlignment="1" applyProtection="1">
      <alignment horizontal="left" vertical="center"/>
    </xf>
    <xf numFmtId="0" fontId="14" fillId="0" borderId="0" xfId="3" applyFont="1" applyFill="1" applyProtection="1"/>
    <xf numFmtId="2" fontId="13" fillId="0" borderId="0" xfId="3" applyNumberFormat="1" applyFont="1" applyFill="1" applyProtection="1"/>
    <xf numFmtId="0" fontId="59" fillId="0" borderId="0" xfId="3" applyFont="1" applyFill="1" applyProtection="1"/>
    <xf numFmtId="0" fontId="59" fillId="0" borderId="0" xfId="3" applyFont="1" applyProtection="1"/>
    <xf numFmtId="0" fontId="60" fillId="0" borderId="0" xfId="3" applyFont="1" applyProtection="1"/>
    <xf numFmtId="0" fontId="61" fillId="0" borderId="0" xfId="0" applyFont="1" applyAlignment="1" applyProtection="1"/>
    <xf numFmtId="0" fontId="61" fillId="0" borderId="20" xfId="0" applyFont="1" applyBorder="1" applyAlignment="1" applyProtection="1">
      <alignment horizontal="center" vertical="center"/>
    </xf>
    <xf numFmtId="44" fontId="61" fillId="0" borderId="20" xfId="0" applyNumberFormat="1" applyFont="1" applyBorder="1" applyAlignment="1" applyProtection="1">
      <alignment horizontal="center" vertical="center"/>
    </xf>
    <xf numFmtId="0" fontId="3" fillId="0" borderId="0" xfId="0" applyFont="1" applyBorder="1" applyAlignment="1" applyProtection="1">
      <alignment horizontal="center" vertical="center"/>
    </xf>
    <xf numFmtId="0" fontId="61" fillId="0" borderId="0" xfId="0" applyFont="1" applyBorder="1" applyAlignment="1" applyProtection="1">
      <alignment horizontal="center" vertical="center"/>
    </xf>
    <xf numFmtId="44" fontId="3" fillId="11" borderId="0" xfId="0" applyNumberFormat="1" applyFont="1" applyFill="1" applyBorder="1" applyAlignment="1" applyProtection="1">
      <alignment horizontal="center" vertical="center"/>
    </xf>
    <xf numFmtId="44" fontId="61" fillId="0" borderId="0" xfId="0" applyNumberFormat="1" applyFont="1" applyBorder="1" applyAlignment="1" applyProtection="1">
      <alignment horizontal="center" vertical="center"/>
    </xf>
    <xf numFmtId="49" fontId="64" fillId="0" borderId="0" xfId="0" applyNumberFormat="1" applyFont="1" applyAlignment="1" applyProtection="1">
      <alignment vertical="center"/>
    </xf>
    <xf numFmtId="0" fontId="3" fillId="0" borderId="0" xfId="0" applyFont="1" applyAlignment="1" applyProtection="1">
      <alignment horizontal="right"/>
    </xf>
    <xf numFmtId="1" fontId="65" fillId="11" borderId="0" xfId="0" applyNumberFormat="1" applyFont="1" applyFill="1" applyBorder="1" applyAlignment="1" applyProtection="1">
      <alignment vertical="center"/>
    </xf>
    <xf numFmtId="0" fontId="62" fillId="11" borderId="0" xfId="0" applyFont="1" applyFill="1" applyAlignment="1" applyProtection="1">
      <alignment horizontal="left" vertical="center" wrapText="1"/>
    </xf>
    <xf numFmtId="0" fontId="3" fillId="0" borderId="0" xfId="0" applyFont="1" applyAlignment="1" applyProtection="1">
      <alignment vertical="center"/>
    </xf>
    <xf numFmtId="0" fontId="28" fillId="15" borderId="0" xfId="0" applyFont="1" applyFill="1" applyBorder="1" applyAlignment="1" applyProtection="1">
      <alignment horizontal="center" wrapText="1"/>
    </xf>
    <xf numFmtId="0" fontId="28" fillId="15" borderId="0" xfId="0" applyFont="1" applyFill="1" applyBorder="1" applyProtection="1"/>
    <xf numFmtId="0" fontId="28" fillId="15" borderId="3" xfId="0" applyFont="1" applyFill="1" applyBorder="1" applyAlignment="1" applyProtection="1">
      <alignment horizontal="center" vertical="center" wrapText="1"/>
    </xf>
    <xf numFmtId="0" fontId="46" fillId="0" borderId="0" xfId="0" applyFont="1" applyFill="1" applyBorder="1" applyAlignment="1" applyProtection="1">
      <alignment wrapText="1"/>
    </xf>
    <xf numFmtId="0" fontId="46" fillId="0" borderId="40" xfId="0" applyFont="1" applyFill="1" applyBorder="1" applyAlignment="1" applyProtection="1">
      <alignment horizontal="right" wrapText="1"/>
    </xf>
    <xf numFmtId="0" fontId="46" fillId="15" borderId="0" xfId="0" applyFont="1" applyFill="1" applyBorder="1" applyAlignment="1" applyProtection="1">
      <alignment wrapText="1"/>
    </xf>
    <xf numFmtId="4" fontId="31" fillId="0" borderId="0" xfId="0" applyNumberFormat="1" applyFont="1" applyFill="1" applyBorder="1" applyAlignment="1" applyProtection="1">
      <alignment horizontal="center"/>
    </xf>
    <xf numFmtId="4" fontId="24" fillId="15" borderId="0" xfId="0" applyNumberFormat="1" applyFont="1" applyFill="1" applyBorder="1" applyProtection="1"/>
    <xf numFmtId="0" fontId="20" fillId="0" borderId="0" xfId="0" applyFont="1" applyFill="1" applyBorder="1" applyProtection="1"/>
    <xf numFmtId="4" fontId="24" fillId="0" borderId="0" xfId="0" applyNumberFormat="1" applyFont="1" applyFill="1" applyBorder="1" applyAlignment="1" applyProtection="1">
      <alignment horizontal="center"/>
    </xf>
    <xf numFmtId="0" fontId="37" fillId="11" borderId="0" xfId="0" applyFont="1" applyFill="1" applyBorder="1" applyAlignment="1" applyProtection="1">
      <alignment wrapText="1"/>
    </xf>
    <xf numFmtId="0" fontId="11" fillId="0" borderId="0" xfId="0" applyFont="1" applyBorder="1" applyAlignment="1" applyProtection="1"/>
    <xf numFmtId="0" fontId="69" fillId="0" borderId="0" xfId="0" applyFont="1" applyBorder="1" applyAlignment="1" applyProtection="1">
      <alignment horizontal="center" vertical="center"/>
    </xf>
    <xf numFmtId="0" fontId="67" fillId="11" borderId="0" xfId="0" applyFont="1" applyFill="1" applyAlignment="1" applyProtection="1">
      <alignment horizontal="left" vertical="center" wrapText="1"/>
    </xf>
    <xf numFmtId="3" fontId="67" fillId="11" borderId="0" xfId="0" applyNumberFormat="1" applyFont="1" applyFill="1" applyBorder="1" applyAlignment="1" applyProtection="1">
      <alignment horizontal="right" vertical="center"/>
    </xf>
    <xf numFmtId="0" fontId="13" fillId="0" borderId="0" xfId="0" applyFont="1" applyFill="1" applyBorder="1" applyProtection="1"/>
    <xf numFmtId="0" fontId="13" fillId="0" borderId="0" xfId="0" applyFont="1" applyFill="1" applyBorder="1" applyAlignment="1" applyProtection="1">
      <alignment vertical="center"/>
    </xf>
    <xf numFmtId="0" fontId="19" fillId="18" borderId="53" xfId="4" applyFont="1" applyFill="1" applyBorder="1" applyAlignment="1" applyProtection="1">
      <alignment horizontal="left"/>
    </xf>
    <xf numFmtId="0" fontId="14" fillId="18" borderId="0" xfId="0" applyFont="1" applyFill="1" applyBorder="1" applyAlignment="1" applyProtection="1">
      <alignment horizontal="center" vertical="center"/>
    </xf>
    <xf numFmtId="0" fontId="23" fillId="18" borderId="0" xfId="3" applyFont="1" applyFill="1" applyBorder="1" applyAlignment="1" applyProtection="1">
      <alignment horizontal="right" vertical="center" wrapText="1"/>
    </xf>
    <xf numFmtId="0" fontId="14" fillId="35" borderId="3" xfId="3" applyFont="1" applyFill="1" applyBorder="1" applyAlignment="1" applyProtection="1">
      <alignment horizontal="center" vertical="center" wrapText="1"/>
    </xf>
    <xf numFmtId="49" fontId="69" fillId="0" borderId="0" xfId="0" applyNumberFormat="1" applyFont="1" applyFill="1" applyBorder="1" applyAlignment="1" applyProtection="1">
      <alignment horizontal="left" vertical="center"/>
    </xf>
    <xf numFmtId="0" fontId="13" fillId="0" borderId="3" xfId="0" applyFont="1" applyFill="1" applyBorder="1" applyAlignment="1" applyProtection="1">
      <alignment horizontal="center" vertical="center"/>
    </xf>
    <xf numFmtId="172" fontId="13" fillId="18" borderId="3" xfId="0" applyNumberFormat="1" applyFont="1" applyFill="1" applyBorder="1" applyAlignment="1" applyProtection="1">
      <alignment horizontal="right" vertical="center" indent="1"/>
    </xf>
    <xf numFmtId="0" fontId="61" fillId="0" borderId="0" xfId="0" applyFont="1" applyFill="1" applyBorder="1" applyAlignment="1" applyProtection="1">
      <alignment vertical="center"/>
    </xf>
    <xf numFmtId="0" fontId="28" fillId="0" borderId="0" xfId="0" applyFont="1" applyFill="1" applyBorder="1" applyAlignment="1" applyProtection="1">
      <alignment vertical="center"/>
    </xf>
    <xf numFmtId="4" fontId="20" fillId="0" borderId="44" xfId="0" applyNumberFormat="1" applyFont="1" applyFill="1" applyBorder="1" applyAlignment="1" applyProtection="1">
      <alignment horizontal="right" vertical="center"/>
    </xf>
    <xf numFmtId="0" fontId="20" fillId="0" borderId="3" xfId="0" applyFont="1" applyFill="1" applyBorder="1" applyAlignment="1" applyProtection="1">
      <alignment horizontal="center" vertical="center" wrapText="1"/>
    </xf>
    <xf numFmtId="0" fontId="13" fillId="12" borderId="81" xfId="0" applyFont="1" applyFill="1" applyBorder="1" applyAlignment="1" applyProtection="1">
      <alignment horizontal="center" vertical="center" wrapText="1"/>
    </xf>
    <xf numFmtId="4" fontId="20" fillId="15" borderId="85" xfId="0" applyNumberFormat="1" applyFont="1" applyFill="1" applyBorder="1" applyAlignment="1" applyProtection="1">
      <alignment vertical="center"/>
    </xf>
    <xf numFmtId="4" fontId="20" fillId="15" borderId="84" xfId="0" applyNumberFormat="1" applyFont="1" applyFill="1" applyBorder="1" applyAlignment="1" applyProtection="1">
      <alignment horizontal="center" vertical="center"/>
    </xf>
    <xf numFmtId="166" fontId="45" fillId="15" borderId="86" xfId="0" applyNumberFormat="1" applyFont="1" applyFill="1" applyBorder="1" applyAlignment="1" applyProtection="1">
      <alignment horizontal="center" vertical="center"/>
    </xf>
    <xf numFmtId="166" fontId="45" fillId="15" borderId="87" xfId="0" applyNumberFormat="1" applyFont="1" applyFill="1" applyBorder="1" applyAlignment="1" applyProtection="1">
      <alignment horizontal="center" vertical="center"/>
    </xf>
    <xf numFmtId="0" fontId="2" fillId="5" borderId="0" xfId="3" applyFont="1" applyFill="1" applyBorder="1" applyAlignment="1" applyProtection="1">
      <alignment vertical="center" wrapText="1"/>
    </xf>
    <xf numFmtId="0" fontId="2" fillId="0" borderId="0" xfId="0" applyFont="1" applyProtection="1"/>
    <xf numFmtId="0" fontId="0" fillId="0" borderId="0" xfId="0" applyAlignment="1" applyProtection="1">
      <alignment vertical="center"/>
    </xf>
    <xf numFmtId="10" fontId="31" fillId="11" borderId="97" xfId="0" applyNumberFormat="1" applyFont="1" applyFill="1" applyBorder="1" applyAlignment="1" applyProtection="1">
      <alignment horizontal="right" vertical="center" indent="2"/>
    </xf>
    <xf numFmtId="0" fontId="31" fillId="11" borderId="0" xfId="0" applyFont="1" applyFill="1" applyBorder="1" applyProtection="1"/>
    <xf numFmtId="0" fontId="31" fillId="35" borderId="63" xfId="0" applyFont="1" applyFill="1" applyBorder="1" applyAlignment="1" applyProtection="1">
      <alignment horizontal="center" vertical="center" wrapText="1"/>
    </xf>
    <xf numFmtId="0" fontId="7" fillId="0" borderId="0" xfId="0" applyFont="1" applyAlignment="1" applyProtection="1">
      <alignment vertical="center" wrapText="1"/>
    </xf>
    <xf numFmtId="17" fontId="11" fillId="37" borderId="3" xfId="0" applyNumberFormat="1" applyFont="1" applyFill="1" applyBorder="1" applyAlignment="1" applyProtection="1">
      <alignment horizontal="center"/>
    </xf>
    <xf numFmtId="10" fontId="11" fillId="0" borderId="3" xfId="0" applyNumberFormat="1" applyFont="1" applyFill="1" applyBorder="1" applyAlignment="1" applyProtection="1">
      <alignment horizontal="center"/>
    </xf>
    <xf numFmtId="4" fontId="11" fillId="37" borderId="3" xfId="0" applyNumberFormat="1" applyFont="1" applyFill="1" applyBorder="1" applyAlignment="1" applyProtection="1">
      <alignment horizontal="right"/>
    </xf>
    <xf numFmtId="0" fontId="31" fillId="0" borderId="20" xfId="0" applyFont="1" applyFill="1" applyBorder="1" applyAlignment="1" applyProtection="1"/>
    <xf numFmtId="0" fontId="31" fillId="0" borderId="23" xfId="0" applyFont="1" applyFill="1" applyBorder="1" applyAlignment="1" applyProtection="1">
      <alignment horizontal="right"/>
    </xf>
    <xf numFmtId="0" fontId="31" fillId="3" borderId="1" xfId="0" applyFont="1" applyFill="1" applyBorder="1" applyAlignment="1" applyProtection="1">
      <alignment horizontal="right"/>
    </xf>
    <xf numFmtId="10" fontId="31" fillId="35" borderId="10" xfId="0" applyNumberFormat="1" applyFont="1" applyFill="1" applyBorder="1" applyAlignment="1" applyProtection="1">
      <alignment horizontal="center"/>
    </xf>
    <xf numFmtId="0" fontId="31" fillId="3" borderId="102" xfId="0" applyFont="1" applyFill="1" applyBorder="1" applyAlignment="1" applyProtection="1">
      <alignment horizontal="right"/>
    </xf>
    <xf numFmtId="0" fontId="13" fillId="0" borderId="7" xfId="3" applyFont="1" applyBorder="1" applyAlignment="1" applyProtection="1">
      <alignment horizontal="center" vertical="center"/>
    </xf>
    <xf numFmtId="0" fontId="13" fillId="0" borderId="0" xfId="3" applyFont="1" applyBorder="1" applyAlignment="1" applyProtection="1">
      <alignment horizontal="center" vertical="center"/>
    </xf>
    <xf numFmtId="0" fontId="13" fillId="0" borderId="0" xfId="3" applyFont="1" applyBorder="1" applyAlignment="1" applyProtection="1">
      <alignment horizontal="left" vertical="center"/>
    </xf>
    <xf numFmtId="0" fontId="14" fillId="0" borderId="0" xfId="3" applyFont="1" applyBorder="1" applyAlignment="1" applyProtection="1">
      <alignment horizontal="center" vertical="center"/>
    </xf>
    <xf numFmtId="0" fontId="14" fillId="5" borderId="0" xfId="3" applyFont="1" applyFill="1" applyBorder="1" applyAlignment="1" applyProtection="1">
      <alignment vertical="center"/>
    </xf>
    <xf numFmtId="0" fontId="14" fillId="4" borderId="3" xfId="3" applyFont="1" applyFill="1" applyBorder="1" applyAlignment="1" applyProtection="1">
      <alignment horizontal="center" vertical="center" wrapText="1"/>
    </xf>
    <xf numFmtId="10" fontId="14" fillId="5" borderId="3" xfId="3" applyNumberFormat="1" applyFont="1" applyFill="1" applyBorder="1" applyAlignment="1" applyProtection="1">
      <alignment horizontal="center" vertical="center"/>
    </xf>
    <xf numFmtId="10" fontId="13" fillId="0" borderId="0" xfId="3" applyNumberFormat="1" applyFont="1" applyFill="1" applyBorder="1" applyAlignment="1" applyProtection="1">
      <alignment horizontal="center" vertical="center" wrapText="1"/>
    </xf>
    <xf numFmtId="0" fontId="14" fillId="0" borderId="0" xfId="3" applyFont="1" applyFill="1" applyBorder="1" applyAlignment="1" applyProtection="1">
      <alignment vertical="center" wrapText="1"/>
    </xf>
    <xf numFmtId="0" fontId="14" fillId="0" borderId="0" xfId="3" applyFont="1" applyFill="1" applyBorder="1" applyAlignment="1" applyProtection="1">
      <alignment vertical="center"/>
    </xf>
    <xf numFmtId="10" fontId="13" fillId="5" borderId="0" xfId="3" applyNumberFormat="1" applyFont="1" applyFill="1" applyBorder="1" applyAlignment="1" applyProtection="1">
      <alignment horizontal="center" vertical="center"/>
    </xf>
    <xf numFmtId="3" fontId="13" fillId="0" borderId="0" xfId="3" applyNumberFormat="1" applyFont="1" applyFill="1" applyBorder="1" applyAlignment="1" applyProtection="1">
      <alignment horizontal="center" vertical="center"/>
    </xf>
    <xf numFmtId="0" fontId="13" fillId="0" borderId="0" xfId="0" applyFont="1" applyBorder="1" applyProtection="1"/>
    <xf numFmtId="0" fontId="30" fillId="31" borderId="3" xfId="0" applyFont="1" applyFill="1" applyBorder="1" applyAlignment="1" applyProtection="1">
      <alignment horizontal="center" vertical="center"/>
    </xf>
    <xf numFmtId="0" fontId="30" fillId="31" borderId="6" xfId="0" applyFont="1" applyFill="1" applyBorder="1" applyAlignment="1" applyProtection="1">
      <alignment horizontal="left" vertical="center"/>
    </xf>
    <xf numFmtId="2" fontId="30" fillId="0" borderId="2" xfId="0" applyNumberFormat="1" applyFont="1" applyFill="1" applyBorder="1" applyAlignment="1" applyProtection="1">
      <alignment horizontal="center" vertical="center" wrapText="1"/>
    </xf>
    <xf numFmtId="170" fontId="13" fillId="0" borderId="3" xfId="0" applyNumberFormat="1" applyFont="1" applyFill="1" applyBorder="1" applyAlignment="1" applyProtection="1">
      <alignment horizontal="center" vertical="center"/>
    </xf>
    <xf numFmtId="0" fontId="13" fillId="2" borderId="0" xfId="3" applyFont="1" applyFill="1" applyBorder="1" applyAlignment="1" applyProtection="1">
      <alignment horizontal="center" vertical="center"/>
    </xf>
    <xf numFmtId="0" fontId="13" fillId="2" borderId="0" xfId="3" applyFont="1" applyFill="1" applyBorder="1" applyAlignment="1" applyProtection="1">
      <alignment horizontal="left" vertical="center"/>
    </xf>
    <xf numFmtId="4" fontId="11" fillId="0" borderId="0" xfId="3" applyNumberFormat="1" applyFont="1" applyFill="1" applyBorder="1" applyAlignment="1" applyProtection="1">
      <alignment horizontal="right" vertical="center" indent="1"/>
    </xf>
    <xf numFmtId="164" fontId="14" fillId="5" borderId="0" xfId="1" applyFont="1" applyFill="1" applyBorder="1" applyAlignment="1" applyProtection="1">
      <alignment horizontal="right" vertical="center" indent="3"/>
    </xf>
    <xf numFmtId="165" fontId="14" fillId="21" borderId="10" xfId="3" applyNumberFormat="1" applyFont="1" applyFill="1" applyBorder="1" applyAlignment="1" applyProtection="1">
      <alignment horizontal="right" vertical="center" wrapText="1" indent="1"/>
    </xf>
    <xf numFmtId="2" fontId="14" fillId="18" borderId="57" xfId="5" applyNumberFormat="1" applyFont="1" applyFill="1" applyBorder="1" applyAlignment="1" applyProtection="1">
      <alignment horizontal="right" vertical="center" indent="1"/>
    </xf>
    <xf numFmtId="2" fontId="14" fillId="0" borderId="10" xfId="3" applyNumberFormat="1" applyFont="1" applyFill="1" applyBorder="1" applyAlignment="1" applyProtection="1">
      <alignment horizontal="right" vertical="center" wrapText="1" indent="1"/>
    </xf>
    <xf numFmtId="2" fontId="14" fillId="18" borderId="0" xfId="3" applyNumberFormat="1" applyFont="1" applyFill="1" applyBorder="1" applyAlignment="1" applyProtection="1">
      <alignment horizontal="right" vertical="center" wrapText="1" indent="1"/>
    </xf>
    <xf numFmtId="2" fontId="14" fillId="18" borderId="58" xfId="5" applyNumberFormat="1" applyFont="1" applyFill="1" applyBorder="1" applyAlignment="1" applyProtection="1">
      <alignment horizontal="right" vertical="center" indent="1"/>
    </xf>
    <xf numFmtId="2" fontId="14" fillId="18" borderId="59" xfId="5" applyNumberFormat="1" applyFont="1" applyFill="1" applyBorder="1" applyAlignment="1" applyProtection="1">
      <alignment horizontal="right" vertical="center" indent="1"/>
    </xf>
    <xf numFmtId="2" fontId="14" fillId="18" borderId="60" xfId="5" applyNumberFormat="1" applyFont="1" applyFill="1" applyBorder="1" applyAlignment="1" applyProtection="1">
      <alignment horizontal="right" vertical="center" indent="1"/>
    </xf>
    <xf numFmtId="2" fontId="14" fillId="21" borderId="10" xfId="3" applyNumberFormat="1" applyFont="1" applyFill="1" applyBorder="1" applyAlignment="1" applyProtection="1">
      <alignment horizontal="right" vertical="center" wrapText="1" indent="1"/>
    </xf>
    <xf numFmtId="1" fontId="61" fillId="0" borderId="0" xfId="0" applyNumberFormat="1" applyFont="1" applyBorder="1" applyAlignment="1" applyProtection="1">
      <alignment horizontal="center" vertical="center"/>
    </xf>
    <xf numFmtId="4" fontId="61" fillId="0" borderId="0" xfId="0" applyNumberFormat="1" applyFont="1" applyBorder="1" applyAlignment="1" applyProtection="1">
      <alignment horizontal="center" vertical="center"/>
    </xf>
    <xf numFmtId="170" fontId="61" fillId="0" borderId="0" xfId="0" applyNumberFormat="1" applyFont="1" applyBorder="1" applyAlignment="1" applyProtection="1">
      <alignment horizontal="center" vertical="center"/>
    </xf>
    <xf numFmtId="0" fontId="13" fillId="0" borderId="0" xfId="0" applyFont="1" applyBorder="1" applyAlignment="1" applyProtection="1">
      <alignment horizontal="center" wrapText="1"/>
    </xf>
    <xf numFmtId="0" fontId="46" fillId="0" borderId="0" xfId="0" applyFont="1" applyFill="1" applyBorder="1" applyAlignment="1" applyProtection="1">
      <alignment horizontal="right" wrapText="1"/>
    </xf>
    <xf numFmtId="0" fontId="1" fillId="0" borderId="20" xfId="0" applyFont="1" applyBorder="1" applyAlignment="1" applyProtection="1">
      <alignment horizontal="center" vertical="center"/>
    </xf>
    <xf numFmtId="4" fontId="61" fillId="0" borderId="20" xfId="0" applyNumberFormat="1" applyFont="1" applyBorder="1" applyAlignment="1" applyProtection="1">
      <alignment horizontal="center" vertical="center"/>
    </xf>
    <xf numFmtId="170" fontId="61" fillId="0" borderId="20" xfId="0" applyNumberFormat="1" applyFont="1" applyBorder="1" applyAlignment="1" applyProtection="1">
      <alignment horizontal="center" vertical="center"/>
    </xf>
    <xf numFmtId="44" fontId="1" fillId="11" borderId="20" xfId="0" applyNumberFormat="1" applyFont="1" applyFill="1" applyBorder="1" applyAlignment="1" applyProtection="1">
      <alignment horizontal="center" vertical="center"/>
    </xf>
    <xf numFmtId="0" fontId="1" fillId="0" borderId="0" xfId="0" applyFont="1" applyBorder="1" applyAlignment="1" applyProtection="1">
      <alignment horizontal="center" vertical="center"/>
    </xf>
    <xf numFmtId="44" fontId="1" fillId="11" borderId="0" xfId="0" applyNumberFormat="1" applyFont="1" applyFill="1" applyBorder="1" applyAlignment="1" applyProtection="1">
      <alignment horizontal="center" vertical="center"/>
    </xf>
    <xf numFmtId="0" fontId="12" fillId="11" borderId="3" xfId="0" applyFont="1" applyFill="1" applyBorder="1" applyAlignment="1" applyProtection="1">
      <alignment horizontal="center" vertical="center" wrapText="1"/>
    </xf>
    <xf numFmtId="0" fontId="12" fillId="36" borderId="3" xfId="0" applyFont="1" applyFill="1" applyBorder="1" applyAlignment="1" applyProtection="1">
      <alignment horizontal="center" vertical="center" wrapText="1"/>
    </xf>
    <xf numFmtId="0" fontId="61" fillId="0" borderId="20" xfId="0" applyFont="1" applyBorder="1" applyAlignment="1" applyProtection="1">
      <alignment horizontal="center" vertical="center" wrapText="1"/>
    </xf>
    <xf numFmtId="0" fontId="61" fillId="0" borderId="0" xfId="0" applyFont="1" applyBorder="1" applyAlignment="1" applyProtection="1">
      <alignment horizontal="center" vertical="center" wrapText="1"/>
    </xf>
    <xf numFmtId="0" fontId="13" fillId="0" borderId="27" xfId="0" applyFont="1" applyBorder="1" applyAlignment="1" applyProtection="1"/>
    <xf numFmtId="4" fontId="67" fillId="0" borderId="0" xfId="0" applyNumberFormat="1" applyFont="1" applyFill="1" applyBorder="1" applyAlignment="1" applyProtection="1">
      <alignment vertical="center" wrapText="1"/>
    </xf>
    <xf numFmtId="4" fontId="14" fillId="0" borderId="45" xfId="0" applyNumberFormat="1" applyFont="1" applyFill="1" applyBorder="1" applyAlignment="1" applyProtection="1">
      <alignment horizontal="center" vertical="center" wrapText="1"/>
    </xf>
    <xf numFmtId="9" fontId="20" fillId="0" borderId="41" xfId="0" applyNumberFormat="1" applyFont="1" applyFill="1" applyBorder="1" applyAlignment="1" applyProtection="1">
      <alignment horizontal="center" vertical="center" wrapText="1"/>
    </xf>
    <xf numFmtId="2" fontId="28" fillId="0" borderId="0" xfId="0" applyNumberFormat="1" applyFont="1" applyFill="1" applyBorder="1" applyProtection="1"/>
    <xf numFmtId="10" fontId="28" fillId="0" borderId="0" xfId="0" applyNumberFormat="1" applyFont="1" applyFill="1" applyBorder="1" applyProtection="1"/>
    <xf numFmtId="49" fontId="14" fillId="0" borderId="45" xfId="0" applyNumberFormat="1" applyFont="1" applyFill="1" applyBorder="1" applyAlignment="1" applyProtection="1">
      <alignment horizontal="center" vertical="center" wrapText="1"/>
    </xf>
    <xf numFmtId="0" fontId="0" fillId="0" borderId="111" xfId="0" applyBorder="1" applyProtection="1"/>
    <xf numFmtId="0" fontId="14" fillId="5" borderId="0" xfId="0" applyFont="1" applyFill="1" applyBorder="1" applyAlignment="1" applyProtection="1">
      <alignment horizontal="center" vertical="center"/>
    </xf>
    <xf numFmtId="0" fontId="13" fillId="0" borderId="0" xfId="0" applyFont="1" applyBorder="1" applyAlignment="1" applyProtection="1">
      <alignment horizontal="left"/>
    </xf>
    <xf numFmtId="0" fontId="14" fillId="0" borderId="3" xfId="0" applyFont="1" applyBorder="1" applyAlignment="1" applyProtection="1">
      <alignment horizontal="center" vertical="center"/>
    </xf>
    <xf numFmtId="10" fontId="13" fillId="35" borderId="3" xfId="3" applyNumberFormat="1" applyFont="1" applyFill="1" applyBorder="1" applyAlignment="1" applyProtection="1">
      <alignment horizontal="center" vertical="center"/>
    </xf>
    <xf numFmtId="10" fontId="13" fillId="0" borderId="18" xfId="3" applyNumberFormat="1" applyFont="1" applyFill="1" applyBorder="1" applyAlignment="1" applyProtection="1">
      <alignment horizontal="center" vertical="center"/>
    </xf>
    <xf numFmtId="1" fontId="13" fillId="3" borderId="3" xfId="0" applyNumberFormat="1" applyFont="1" applyFill="1" applyBorder="1" applyAlignment="1" applyProtection="1">
      <alignment horizontal="center" vertical="center"/>
    </xf>
    <xf numFmtId="0" fontId="13" fillId="0" borderId="27" xfId="0" applyFont="1" applyBorder="1" applyProtection="1"/>
    <xf numFmtId="0" fontId="34" fillId="26" borderId="2" xfId="3" applyFont="1" applyFill="1" applyBorder="1" applyAlignment="1" applyProtection="1">
      <alignment horizontal="center" vertical="center" wrapText="1"/>
    </xf>
    <xf numFmtId="0" fontId="0" fillId="0" borderId="0" xfId="0" applyBorder="1" applyAlignment="1" applyProtection="1"/>
    <xf numFmtId="0" fontId="13" fillId="5" borderId="3" xfId="3" applyFont="1" applyFill="1" applyBorder="1" applyAlignment="1" applyProtection="1">
      <alignment horizontal="center" vertical="center" wrapText="1"/>
    </xf>
    <xf numFmtId="170" fontId="13" fillId="5" borderId="3" xfId="3" applyNumberFormat="1" applyFont="1" applyFill="1" applyBorder="1" applyAlignment="1" applyProtection="1">
      <alignment horizontal="center" vertical="center"/>
    </xf>
    <xf numFmtId="0" fontId="84" fillId="0" borderId="0" xfId="3" applyFont="1" applyAlignment="1" applyProtection="1">
      <alignment horizontal="right"/>
    </xf>
    <xf numFmtId="170" fontId="13" fillId="0" borderId="0" xfId="0" applyNumberFormat="1" applyFont="1" applyProtection="1"/>
    <xf numFmtId="0" fontId="5" fillId="0" borderId="0" xfId="0" applyFont="1" applyAlignment="1" applyProtection="1">
      <alignment horizontal="left" vertical="center"/>
    </xf>
    <xf numFmtId="0" fontId="13" fillId="5" borderId="0" xfId="3" applyFont="1" applyFill="1" applyBorder="1" applyAlignment="1" applyProtection="1">
      <alignment horizontal="justify" vertical="center" wrapText="1"/>
    </xf>
    <xf numFmtId="0" fontId="13" fillId="5" borderId="0" xfId="3" applyFont="1" applyFill="1" applyBorder="1" applyAlignment="1" applyProtection="1">
      <alignment horizontal="center" vertical="center" wrapText="1"/>
    </xf>
    <xf numFmtId="170" fontId="13" fillId="0" borderId="0" xfId="0" applyNumberFormat="1" applyFont="1" applyBorder="1" applyAlignment="1" applyProtection="1">
      <alignment horizontal="center" vertical="center"/>
    </xf>
    <xf numFmtId="170" fontId="13" fillId="0" borderId="0" xfId="7" applyNumberFormat="1" applyFont="1" applyFill="1" applyBorder="1" applyAlignment="1" applyProtection="1">
      <alignment horizontal="right" vertical="center" indent="1"/>
    </xf>
    <xf numFmtId="170" fontId="87" fillId="35" borderId="10" xfId="7" applyNumberFormat="1" applyFont="1" applyFill="1" applyBorder="1" applyAlignment="1" applyProtection="1">
      <alignment horizontal="right" vertical="center" indent="1"/>
    </xf>
    <xf numFmtId="0" fontId="33" fillId="0" borderId="0" xfId="5" applyFont="1" applyBorder="1" applyAlignment="1" applyProtection="1">
      <alignment horizontal="left"/>
    </xf>
    <xf numFmtId="0" fontId="13" fillId="0" borderId="0" xfId="3" applyFont="1" applyAlignment="1" applyProtection="1">
      <alignment vertical="top" wrapText="1"/>
    </xf>
    <xf numFmtId="0" fontId="13" fillId="0" borderId="0" xfId="3" applyFont="1" applyAlignment="1" applyProtection="1">
      <alignment vertical="center" wrapText="1"/>
    </xf>
    <xf numFmtId="0" fontId="13" fillId="0" borderId="0" xfId="3" applyFont="1" applyAlignment="1" applyProtection="1">
      <alignment horizontal="right" vertical="top" wrapText="1"/>
    </xf>
    <xf numFmtId="0" fontId="13" fillId="0" borderId="0" xfId="3" applyFont="1" applyAlignment="1" applyProtection="1">
      <alignment vertical="top"/>
    </xf>
    <xf numFmtId="0" fontId="0" fillId="0" borderId="0" xfId="0" applyAlignment="1" applyProtection="1">
      <alignment vertical="top"/>
    </xf>
    <xf numFmtId="0" fontId="13" fillId="0" borderId="0" xfId="3" applyFont="1" applyAlignment="1" applyProtection="1">
      <alignment horizontal="center" vertical="center" wrapText="1"/>
    </xf>
    <xf numFmtId="0" fontId="14" fillId="0" borderId="0" xfId="3" applyFont="1" applyBorder="1" applyAlignment="1" applyProtection="1">
      <alignment vertical="center"/>
    </xf>
    <xf numFmtId="0" fontId="14" fillId="0" borderId="0" xfId="0" applyFont="1" applyBorder="1" applyAlignment="1" applyProtection="1">
      <alignment vertical="center"/>
    </xf>
    <xf numFmtId="174" fontId="14" fillId="0" borderId="0" xfId="0" applyNumberFormat="1" applyFont="1" applyBorder="1" applyAlignment="1" applyProtection="1">
      <alignment vertical="center"/>
    </xf>
    <xf numFmtId="0" fontId="13" fillId="0" borderId="112" xfId="0" applyFont="1" applyBorder="1" applyAlignment="1" applyProtection="1"/>
    <xf numFmtId="9" fontId="13" fillId="5" borderId="0" xfId="0" applyNumberFormat="1" applyFont="1" applyFill="1" applyBorder="1" applyAlignment="1" applyProtection="1">
      <alignment horizontal="center" vertical="center"/>
    </xf>
    <xf numFmtId="2" fontId="13" fillId="5" borderId="0" xfId="0" applyNumberFormat="1" applyFont="1" applyFill="1" applyBorder="1" applyAlignment="1" applyProtection="1">
      <alignment horizontal="center" vertical="center"/>
    </xf>
    <xf numFmtId="1" fontId="13" fillId="5" borderId="0" xfId="0" applyNumberFormat="1" applyFont="1" applyFill="1" applyBorder="1" applyAlignment="1" applyProtection="1">
      <alignment horizontal="center" vertical="center"/>
    </xf>
    <xf numFmtId="0" fontId="0" fillId="5" borderId="0" xfId="0" applyFill="1" applyBorder="1" applyProtection="1"/>
    <xf numFmtId="0" fontId="37" fillId="11" borderId="0" xfId="0" applyFont="1" applyFill="1" applyBorder="1" applyAlignment="1" applyProtection="1">
      <alignment horizontal="left"/>
    </xf>
    <xf numFmtId="0" fontId="37" fillId="11" borderId="0" xfId="0" applyFont="1" applyFill="1" applyBorder="1" applyProtection="1"/>
    <xf numFmtId="0" fontId="37" fillId="11" borderId="0" xfId="0" applyFont="1" applyFill="1" applyBorder="1" applyAlignment="1" applyProtection="1">
      <alignment horizontal="center"/>
    </xf>
    <xf numFmtId="0" fontId="28" fillId="15" borderId="0" xfId="0" applyFont="1" applyFill="1" applyBorder="1" applyAlignment="1" applyProtection="1"/>
    <xf numFmtId="0" fontId="83" fillId="0" borderId="0" xfId="0" applyFont="1" applyFill="1" applyBorder="1" applyAlignment="1" applyProtection="1">
      <alignment horizontal="right"/>
    </xf>
    <xf numFmtId="0" fontId="28" fillId="0" borderId="0" xfId="0" applyFont="1" applyFill="1" applyBorder="1" applyAlignment="1" applyProtection="1">
      <alignment horizontal="center"/>
    </xf>
    <xf numFmtId="0" fontId="12" fillId="0" borderId="0" xfId="0" applyFont="1" applyFill="1" applyBorder="1" applyAlignment="1" applyProtection="1">
      <alignment horizontal="center" vertical="center" wrapText="1"/>
    </xf>
    <xf numFmtId="0" fontId="20" fillId="0" borderId="3" xfId="0" applyFont="1" applyFill="1" applyBorder="1" applyAlignment="1" applyProtection="1">
      <alignment horizontal="center" vertical="center"/>
    </xf>
    <xf numFmtId="0" fontId="20" fillId="15" borderId="42" xfId="0" applyFont="1" applyFill="1" applyBorder="1" applyAlignment="1" applyProtection="1">
      <alignment vertical="top"/>
    </xf>
    <xf numFmtId="0" fontId="20" fillId="15" borderId="0" xfId="0" applyFont="1" applyFill="1" applyBorder="1" applyAlignment="1" applyProtection="1">
      <alignment vertical="top"/>
    </xf>
    <xf numFmtId="4" fontId="20" fillId="0" borderId="45" xfId="0" applyNumberFormat="1" applyFont="1" applyFill="1" applyBorder="1" applyAlignment="1" applyProtection="1">
      <alignment horizontal="center" vertical="center"/>
    </xf>
    <xf numFmtId="0" fontId="44" fillId="0" borderId="0" xfId="0" applyFont="1" applyFill="1" applyBorder="1" applyAlignment="1" applyProtection="1">
      <alignment vertical="center"/>
    </xf>
    <xf numFmtId="0" fontId="13" fillId="0" borderId="0" xfId="0" applyFont="1" applyFill="1" applyBorder="1" applyProtection="1"/>
    <xf numFmtId="0" fontId="50" fillId="0" borderId="0" xfId="3" applyFont="1" applyFill="1" applyBorder="1" applyAlignment="1" applyProtection="1">
      <alignment horizontal="center" vertical="center" wrapText="1"/>
    </xf>
    <xf numFmtId="0" fontId="95" fillId="0" borderId="0" xfId="3" applyFont="1" applyFill="1" applyBorder="1" applyAlignment="1" applyProtection="1">
      <alignment horizontal="center" vertical="center" wrapText="1"/>
    </xf>
    <xf numFmtId="0" fontId="13" fillId="5" borderId="3" xfId="3" applyFont="1" applyFill="1" applyBorder="1" applyAlignment="1" applyProtection="1">
      <alignment horizontal="center" vertical="center"/>
    </xf>
    <xf numFmtId="0" fontId="33" fillId="5" borderId="27" xfId="3" applyFont="1" applyFill="1" applyBorder="1" applyAlignment="1" applyProtection="1"/>
    <xf numFmtId="0" fontId="13" fillId="5" borderId="27" xfId="3" applyFont="1" applyFill="1" applyBorder="1" applyAlignment="1" applyProtection="1">
      <alignment vertical="center"/>
    </xf>
    <xf numFmtId="0" fontId="96" fillId="42" borderId="3" xfId="3" applyFont="1" applyFill="1" applyBorder="1" applyAlignment="1" applyProtection="1">
      <alignment horizontal="center" vertical="center" wrapText="1"/>
    </xf>
    <xf numFmtId="170" fontId="13" fillId="5" borderId="3" xfId="3" applyNumberFormat="1" applyFont="1" applyFill="1" applyBorder="1" applyAlignment="1" applyProtection="1">
      <alignment horizontal="right" vertical="center" indent="1"/>
    </xf>
    <xf numFmtId="0" fontId="13" fillId="0" borderId="3" xfId="0" applyFont="1" applyBorder="1" applyAlignment="1" applyProtection="1">
      <alignment horizontal="center" vertical="center"/>
    </xf>
    <xf numFmtId="0" fontId="13" fillId="0" borderId="3" xfId="3" applyFont="1" applyFill="1" applyBorder="1" applyAlignment="1" applyProtection="1">
      <alignment horizontal="center" vertical="center" wrapText="1"/>
    </xf>
    <xf numFmtId="0" fontId="96" fillId="0" borderId="0" xfId="3" applyFont="1" applyFill="1" applyBorder="1" applyAlignment="1" applyProtection="1">
      <alignment horizontal="center" vertical="center" wrapText="1"/>
    </xf>
    <xf numFmtId="0" fontId="13" fillId="0" borderId="3" xfId="3" applyFont="1" applyFill="1" applyBorder="1" applyAlignment="1" applyProtection="1">
      <alignment horizontal="center" vertical="center"/>
    </xf>
    <xf numFmtId="170" fontId="13" fillId="0" borderId="0" xfId="0" applyNumberFormat="1" applyFont="1" applyBorder="1" applyAlignment="1" applyProtection="1">
      <alignment vertical="center"/>
    </xf>
    <xf numFmtId="170" fontId="85" fillId="0" borderId="0" xfId="7" applyNumberFormat="1" applyFont="1" applyFill="1" applyBorder="1" applyAlignment="1" applyProtection="1">
      <alignment horizontal="right" vertical="center" indent="1"/>
    </xf>
    <xf numFmtId="0" fontId="5" fillId="0" borderId="0" xfId="0" applyFont="1" applyBorder="1" applyAlignment="1" applyProtection="1">
      <alignment horizontal="left" vertical="center"/>
    </xf>
    <xf numFmtId="0" fontId="54" fillId="5" borderId="121" xfId="3" applyFont="1" applyFill="1" applyBorder="1" applyAlignment="1" applyProtection="1"/>
    <xf numFmtId="0" fontId="33" fillId="5" borderId="121" xfId="3" applyFont="1" applyFill="1" applyBorder="1" applyAlignment="1" applyProtection="1"/>
    <xf numFmtId="0" fontId="41" fillId="5" borderId="121" xfId="3" applyFont="1" applyFill="1" applyBorder="1" applyAlignment="1" applyProtection="1">
      <alignment vertical="center"/>
    </xf>
    <xf numFmtId="4" fontId="41" fillId="5" borderId="121" xfId="3" applyNumberFormat="1" applyFont="1" applyFill="1" applyBorder="1" applyAlignment="1" applyProtection="1">
      <alignment horizontal="right" vertical="center"/>
    </xf>
    <xf numFmtId="170" fontId="13" fillId="0" borderId="20" xfId="0" applyNumberFormat="1" applyFont="1" applyBorder="1" applyAlignment="1" applyProtection="1">
      <alignment horizontal="center" vertical="center"/>
    </xf>
    <xf numFmtId="170" fontId="13" fillId="0" borderId="26" xfId="0" applyNumberFormat="1" applyFont="1" applyBorder="1" applyAlignment="1" applyProtection="1">
      <alignment horizontal="center" vertical="center"/>
    </xf>
    <xf numFmtId="170" fontId="13" fillId="3" borderId="2" xfId="7" applyNumberFormat="1" applyFont="1" applyFill="1" applyBorder="1" applyAlignment="1" applyProtection="1">
      <alignment horizontal="right" vertical="center" indent="1"/>
    </xf>
    <xf numFmtId="0" fontId="41" fillId="5" borderId="27" xfId="3" applyFont="1" applyFill="1" applyBorder="1" applyAlignment="1" applyProtection="1">
      <alignment vertical="center"/>
    </xf>
    <xf numFmtId="0" fontId="34" fillId="26" borderId="3" xfId="3" applyFont="1" applyFill="1" applyBorder="1" applyAlignment="1" applyProtection="1">
      <alignment horizontal="center" vertical="center" wrapText="1"/>
    </xf>
    <xf numFmtId="0" fontId="34" fillId="0" borderId="0" xfId="3" applyFont="1" applyFill="1" applyBorder="1" applyAlignment="1" applyProtection="1">
      <alignment horizontal="center" vertical="center" wrapText="1"/>
    </xf>
    <xf numFmtId="0" fontId="34" fillId="0" borderId="17" xfId="3" applyFont="1" applyFill="1" applyBorder="1" applyAlignment="1" applyProtection="1">
      <alignment horizontal="center" vertical="center" wrapText="1"/>
    </xf>
    <xf numFmtId="1" fontId="13" fillId="5" borderId="17" xfId="3" applyNumberFormat="1" applyFont="1" applyFill="1" applyBorder="1" applyAlignment="1" applyProtection="1">
      <alignment horizontal="center" vertical="center" wrapText="1"/>
    </xf>
    <xf numFmtId="170" fontId="13" fillId="5" borderId="0" xfId="3" applyNumberFormat="1" applyFont="1" applyFill="1" applyBorder="1" applyAlignment="1" applyProtection="1">
      <alignment horizontal="right" vertical="center" indent="1"/>
    </xf>
    <xf numFmtId="166" fontId="13" fillId="5" borderId="0" xfId="3" applyNumberFormat="1" applyFont="1" applyFill="1" applyBorder="1" applyAlignment="1" applyProtection="1">
      <alignment vertical="center" wrapText="1"/>
    </xf>
    <xf numFmtId="1" fontId="13" fillId="0" borderId="0" xfId="3" applyNumberFormat="1" applyFont="1" applyFill="1" applyBorder="1" applyAlignment="1" applyProtection="1">
      <alignment horizontal="center" vertical="center" wrapText="1"/>
    </xf>
    <xf numFmtId="170" fontId="13" fillId="0" borderId="0" xfId="3" applyNumberFormat="1" applyFont="1" applyFill="1" applyBorder="1" applyAlignment="1" applyProtection="1">
      <alignment horizontal="right" vertical="center" indent="1"/>
    </xf>
    <xf numFmtId="0" fontId="13" fillId="0" borderId="27" xfId="3" applyFont="1" applyBorder="1" applyAlignment="1" applyProtection="1">
      <alignment vertical="center"/>
    </xf>
    <xf numFmtId="0" fontId="13" fillId="0" borderId="0" xfId="3" applyFont="1" applyBorder="1" applyAlignment="1" applyProtection="1">
      <alignment vertical="center"/>
    </xf>
    <xf numFmtId="0" fontId="98" fillId="0" borderId="0" xfId="3" applyFont="1" applyAlignment="1" applyProtection="1">
      <alignment horizontal="right"/>
    </xf>
    <xf numFmtId="4" fontId="99" fillId="0" borderId="0" xfId="7" applyNumberFormat="1" applyFont="1" applyFill="1" applyBorder="1" applyAlignment="1" applyProtection="1">
      <alignment horizontal="right" vertical="center" indent="1"/>
    </xf>
    <xf numFmtId="0" fontId="0" fillId="0" borderId="112" xfId="0" applyBorder="1" applyProtection="1"/>
    <xf numFmtId="0" fontId="14" fillId="0" borderId="0" xfId="0" applyFont="1" applyBorder="1" applyAlignment="1" applyProtection="1">
      <alignment horizontal="center" vertical="center"/>
    </xf>
    <xf numFmtId="0" fontId="96" fillId="42" borderId="2" xfId="3" applyFont="1" applyFill="1" applyBorder="1" applyAlignment="1" applyProtection="1">
      <alignment horizontal="center" vertical="center" wrapText="1"/>
    </xf>
    <xf numFmtId="0" fontId="13" fillId="0" borderId="1" xfId="3" applyFont="1" applyFill="1" applyBorder="1" applyAlignment="1" applyProtection="1">
      <alignment horizontal="left" vertical="center" wrapText="1"/>
    </xf>
    <xf numFmtId="0" fontId="13" fillId="0" borderId="1" xfId="3" applyFont="1" applyFill="1" applyBorder="1" applyAlignment="1" applyProtection="1">
      <alignment horizontal="left" vertical="center"/>
    </xf>
    <xf numFmtId="170" fontId="13" fillId="5" borderId="3" xfId="7" applyNumberFormat="1" applyFont="1" applyFill="1" applyBorder="1" applyAlignment="1" applyProtection="1">
      <alignment horizontal="right" vertical="center" indent="1"/>
    </xf>
    <xf numFmtId="0" fontId="34" fillId="26" borderId="122" xfId="3" applyFont="1" applyFill="1" applyBorder="1" applyAlignment="1" applyProtection="1">
      <alignment horizontal="center" vertical="center" wrapText="1"/>
    </xf>
    <xf numFmtId="170" fontId="0" fillId="0" borderId="0" xfId="0" applyNumberFormat="1" applyBorder="1" applyProtection="1"/>
    <xf numFmtId="0" fontId="13" fillId="5" borderId="27" xfId="0" applyFont="1" applyFill="1" applyBorder="1" applyProtection="1"/>
    <xf numFmtId="4" fontId="31" fillId="13" borderId="3" xfId="0" applyNumberFormat="1" applyFont="1" applyFill="1" applyBorder="1" applyAlignment="1" applyProtection="1">
      <alignment horizontal="center" vertical="center" wrapText="1"/>
    </xf>
    <xf numFmtId="0" fontId="11" fillId="0" borderId="0" xfId="0" applyFont="1" applyAlignment="1" applyProtection="1">
      <alignment horizontal="right"/>
    </xf>
    <xf numFmtId="0" fontId="11" fillId="0" borderId="3" xfId="0" applyFont="1" applyBorder="1" applyAlignment="1" applyProtection="1">
      <alignment horizontal="center" vertical="center"/>
    </xf>
    <xf numFmtId="4" fontId="13" fillId="0" borderId="3" xfId="0" applyNumberFormat="1" applyFont="1" applyBorder="1" applyAlignment="1" applyProtection="1">
      <alignment horizontal="center" vertical="center"/>
    </xf>
    <xf numFmtId="170" fontId="13" fillId="0" borderId="3" xfId="0" applyNumberFormat="1" applyFont="1" applyBorder="1" applyAlignment="1" applyProtection="1">
      <alignment horizontal="center" vertical="center"/>
    </xf>
    <xf numFmtId="0" fontId="11" fillId="0" borderId="20" xfId="0" applyFont="1" applyBorder="1" applyAlignment="1" applyProtection="1">
      <alignment horizontal="center" vertical="center"/>
    </xf>
    <xf numFmtId="0" fontId="13" fillId="0" borderId="20" xfId="0" applyFont="1" applyBorder="1" applyAlignment="1" applyProtection="1">
      <alignment horizontal="center" vertical="center"/>
    </xf>
    <xf numFmtId="0" fontId="13" fillId="0" borderId="20" xfId="0" applyFont="1" applyBorder="1" applyAlignment="1" applyProtection="1">
      <alignment horizontal="center" vertical="center" wrapText="1"/>
    </xf>
    <xf numFmtId="44" fontId="11" fillId="11" borderId="20" xfId="0" applyNumberFormat="1" applyFont="1" applyFill="1" applyBorder="1" applyAlignment="1" applyProtection="1">
      <alignment horizontal="center" vertical="center"/>
    </xf>
    <xf numFmtId="0" fontId="11" fillId="0" borderId="2" xfId="0" applyFont="1" applyBorder="1" applyAlignment="1" applyProtection="1">
      <alignment horizontal="center" vertical="center"/>
    </xf>
    <xf numFmtId="4" fontId="31" fillId="31" borderId="15" xfId="0" applyNumberFormat="1" applyFont="1" applyFill="1" applyBorder="1" applyAlignment="1" applyProtection="1">
      <alignment horizontal="center" vertical="center" wrapText="1"/>
    </xf>
    <xf numFmtId="4" fontId="31" fillId="31" borderId="6" xfId="0" applyNumberFormat="1" applyFont="1" applyFill="1" applyBorder="1" applyAlignment="1" applyProtection="1">
      <alignment horizontal="center" vertical="center" wrapText="1"/>
    </xf>
    <xf numFmtId="0" fontId="11" fillId="0" borderId="2" xfId="0" applyFont="1" applyBorder="1" applyAlignment="1" applyProtection="1">
      <alignment horizontal="left" vertical="center"/>
    </xf>
    <xf numFmtId="0" fontId="11" fillId="0" borderId="3" xfId="0" applyFont="1" applyBorder="1" applyAlignment="1" applyProtection="1">
      <alignment horizontal="left" vertical="center"/>
    </xf>
    <xf numFmtId="14" fontId="13" fillId="0" borderId="3" xfId="0" applyNumberFormat="1" applyFont="1" applyBorder="1" applyAlignment="1" applyProtection="1">
      <alignment horizontal="center" vertical="center"/>
    </xf>
    <xf numFmtId="1" fontId="11" fillId="11" borderId="3" xfId="0" applyNumberFormat="1" applyFont="1" applyFill="1" applyBorder="1" applyAlignment="1" applyProtection="1">
      <alignment horizontal="center" vertical="center"/>
    </xf>
    <xf numFmtId="44" fontId="61" fillId="0" borderId="0" xfId="0" applyNumberFormat="1" applyFont="1" applyBorder="1" applyAlignment="1" applyProtection="1">
      <alignment vertical="center"/>
    </xf>
    <xf numFmtId="0" fontId="34" fillId="26" borderId="17" xfId="3" applyFont="1" applyFill="1" applyBorder="1" applyAlignment="1" applyProtection="1">
      <alignment horizontal="center" vertical="center" wrapText="1"/>
    </xf>
    <xf numFmtId="0" fontId="13" fillId="0" borderId="17" xfId="3" applyFont="1" applyFill="1" applyBorder="1" applyAlignment="1" applyProtection="1">
      <alignment horizontal="center" vertical="center"/>
    </xf>
    <xf numFmtId="10" fontId="13" fillId="0" borderId="0" xfId="3" applyNumberFormat="1" applyFont="1" applyFill="1" applyBorder="1" applyAlignment="1" applyProtection="1">
      <alignment horizontal="center" vertical="center"/>
    </xf>
    <xf numFmtId="10" fontId="13" fillId="0" borderId="17" xfId="3" applyNumberFormat="1" applyFont="1" applyFill="1" applyBorder="1" applyAlignment="1" applyProtection="1">
      <alignment horizontal="center" vertical="center"/>
    </xf>
    <xf numFmtId="0" fontId="14" fillId="0" borderId="15" xfId="0" applyFont="1" applyBorder="1" applyAlignment="1" applyProtection="1">
      <alignment horizontal="center" vertical="center"/>
    </xf>
    <xf numFmtId="0" fontId="13" fillId="0" borderId="0" xfId="3" applyFont="1" applyFill="1" applyBorder="1" applyAlignment="1" applyProtection="1">
      <alignment horizontal="center" vertical="center"/>
    </xf>
    <xf numFmtId="0" fontId="0" fillId="0" borderId="0" xfId="0" applyFill="1" applyBorder="1" applyProtection="1"/>
    <xf numFmtId="175" fontId="94" fillId="0" borderId="0" xfId="0" applyNumberFormat="1" applyFont="1" applyFill="1" applyBorder="1" applyAlignment="1" applyProtection="1">
      <alignment horizontal="center" vertical="center"/>
    </xf>
    <xf numFmtId="1" fontId="13" fillId="3" borderId="124" xfId="0" applyNumberFormat="1" applyFont="1" applyFill="1" applyBorder="1" applyAlignment="1" applyProtection="1">
      <alignment horizontal="center" vertical="center"/>
    </xf>
    <xf numFmtId="2" fontId="13" fillId="0" borderId="3" xfId="3" applyNumberFormat="1" applyFont="1" applyFill="1" applyBorder="1" applyAlignment="1" applyProtection="1">
      <alignment horizontal="center" vertical="center"/>
    </xf>
    <xf numFmtId="0" fontId="0" fillId="0" borderId="20" xfId="0" applyBorder="1" applyProtection="1"/>
    <xf numFmtId="0" fontId="0" fillId="0" borderId="50" xfId="0" applyBorder="1" applyProtection="1"/>
    <xf numFmtId="0" fontId="32" fillId="0" borderId="0" xfId="0" applyFont="1" applyBorder="1" applyAlignment="1" applyProtection="1">
      <alignment horizontal="center" vertical="center" wrapText="1"/>
    </xf>
    <xf numFmtId="2" fontId="32" fillId="11" borderId="0" xfId="0" applyNumberFormat="1" applyFont="1" applyFill="1" applyBorder="1" applyAlignment="1" applyProtection="1">
      <alignment horizontal="center" vertical="center"/>
    </xf>
    <xf numFmtId="0" fontId="34" fillId="26" borderId="125" xfId="3" applyFont="1" applyFill="1" applyBorder="1" applyAlignment="1" applyProtection="1">
      <alignment horizontal="center" vertical="center" wrapText="1"/>
    </xf>
    <xf numFmtId="0" fontId="34" fillId="26" borderId="4" xfId="3" applyFont="1" applyFill="1" applyBorder="1" applyAlignment="1" applyProtection="1">
      <alignment horizontal="center" vertical="center" wrapText="1"/>
    </xf>
    <xf numFmtId="0" fontId="32" fillId="0" borderId="3" xfId="0" applyFont="1" applyBorder="1" applyAlignment="1" applyProtection="1">
      <alignment horizontal="center" vertical="center" wrapText="1"/>
    </xf>
    <xf numFmtId="0" fontId="32" fillId="0" borderId="0" xfId="0" applyFont="1" applyFill="1" applyBorder="1" applyAlignment="1" applyProtection="1">
      <alignment horizontal="center" vertical="center" wrapText="1"/>
    </xf>
    <xf numFmtId="0" fontId="13" fillId="0" borderId="0" xfId="3" applyFont="1" applyFill="1" applyBorder="1" applyAlignment="1" applyProtection="1">
      <alignment horizontal="left" vertical="center"/>
    </xf>
    <xf numFmtId="3" fontId="32" fillId="0" borderId="0" xfId="0" applyNumberFormat="1" applyFont="1" applyFill="1" applyBorder="1" applyAlignment="1" applyProtection="1">
      <alignment horizontal="center" vertical="center"/>
    </xf>
    <xf numFmtId="4" fontId="32" fillId="0" borderId="0" xfId="0" applyNumberFormat="1" applyFont="1" applyFill="1" applyBorder="1" applyAlignment="1" applyProtection="1">
      <alignment horizontal="center" vertical="center" wrapText="1"/>
    </xf>
    <xf numFmtId="170" fontId="86" fillId="0" borderId="0" xfId="0" applyNumberFormat="1" applyFont="1" applyFill="1" applyBorder="1" applyAlignment="1" applyProtection="1">
      <alignment horizontal="right" vertical="center"/>
    </xf>
    <xf numFmtId="170" fontId="87" fillId="0" borderId="0" xfId="7" applyNumberFormat="1" applyFont="1" applyFill="1" applyBorder="1" applyAlignment="1" applyProtection="1">
      <alignment horizontal="right" vertical="center" indent="1"/>
    </xf>
    <xf numFmtId="170" fontId="14" fillId="0" borderId="3" xfId="0" applyNumberFormat="1" applyFont="1" applyBorder="1" applyAlignment="1" applyProtection="1">
      <alignment horizontal="center" vertical="center"/>
    </xf>
    <xf numFmtId="4" fontId="31" fillId="0" borderId="0" xfId="0" applyNumberFormat="1" applyFont="1" applyFill="1" applyBorder="1" applyAlignment="1" applyProtection="1">
      <alignment horizontal="center" vertical="center" wrapText="1"/>
    </xf>
    <xf numFmtId="170" fontId="20" fillId="0" borderId="0" xfId="0" applyNumberFormat="1" applyFont="1" applyFill="1" applyBorder="1" applyAlignment="1" applyProtection="1">
      <alignment horizontal="center" vertical="center" wrapText="1"/>
    </xf>
    <xf numFmtId="3" fontId="28" fillId="0" borderId="0" xfId="0" applyNumberFormat="1" applyFont="1" applyFill="1" applyBorder="1" applyAlignment="1" applyProtection="1">
      <alignment horizontal="center" vertical="center"/>
    </xf>
    <xf numFmtId="170" fontId="28" fillId="0" borderId="0" xfId="0" applyNumberFormat="1" applyFont="1" applyFill="1" applyBorder="1" applyAlignment="1" applyProtection="1">
      <alignment horizontal="center" vertical="center" wrapText="1"/>
    </xf>
    <xf numFmtId="3" fontId="50" fillId="0" borderId="0" xfId="0" applyNumberFormat="1" applyFont="1" applyFill="1" applyBorder="1" applyAlignment="1" applyProtection="1">
      <alignment horizontal="right" vertical="center"/>
    </xf>
    <xf numFmtId="164" fontId="63" fillId="0" borderId="0" xfId="1" applyFont="1" applyFill="1" applyBorder="1" applyAlignment="1" applyProtection="1">
      <alignment vertical="center"/>
    </xf>
    <xf numFmtId="1" fontId="49" fillId="0" borderId="0" xfId="0" applyNumberFormat="1" applyFont="1" applyFill="1" applyAlignment="1" applyProtection="1">
      <alignment horizontal="right" vertical="center"/>
    </xf>
    <xf numFmtId="0" fontId="4" fillId="0" borderId="0" xfId="0" applyFont="1" applyFill="1" applyBorder="1" applyAlignment="1" applyProtection="1">
      <alignment horizontal="right"/>
    </xf>
    <xf numFmtId="49" fontId="28" fillId="0" borderId="39" xfId="0" applyNumberFormat="1" applyFont="1" applyFill="1" applyBorder="1" applyAlignment="1" applyProtection="1">
      <alignment horizontal="center" vertical="center" wrapText="1"/>
    </xf>
    <xf numFmtId="14" fontId="28" fillId="0" borderId="41" xfId="0" applyNumberFormat="1" applyFont="1" applyFill="1" applyBorder="1" applyAlignment="1" applyProtection="1">
      <alignment horizontal="center" vertical="center" wrapText="1"/>
    </xf>
    <xf numFmtId="170" fontId="11" fillId="0" borderId="2" xfId="0" applyNumberFormat="1" applyFont="1" applyBorder="1" applyAlignment="1" applyProtection="1">
      <alignment horizontal="left" vertical="center"/>
    </xf>
    <xf numFmtId="170" fontId="11" fillId="0" borderId="3" xfId="0" applyNumberFormat="1" applyFont="1" applyBorder="1" applyAlignment="1" applyProtection="1">
      <alignment horizontal="left" vertical="center"/>
    </xf>
    <xf numFmtId="0" fontId="13" fillId="0" borderId="121" xfId="0" applyFont="1" applyBorder="1" applyAlignment="1" applyProtection="1"/>
    <xf numFmtId="0" fontId="13" fillId="0" borderId="75" xfId="0" applyFont="1" applyBorder="1" applyAlignment="1" applyProtection="1"/>
    <xf numFmtId="0" fontId="24" fillId="46" borderId="127" xfId="0" applyFont="1" applyFill="1" applyBorder="1" applyAlignment="1" applyProtection="1">
      <alignment horizontal="center" vertical="center"/>
    </xf>
    <xf numFmtId="0" fontId="24" fillId="46" borderId="127" xfId="0" applyFont="1" applyFill="1" applyBorder="1" applyAlignment="1" applyProtection="1">
      <alignment horizontal="center" vertical="center" wrapText="1"/>
    </xf>
    <xf numFmtId="0" fontId="24" fillId="46" borderId="126" xfId="0" applyFont="1" applyFill="1" applyBorder="1" applyAlignment="1" applyProtection="1">
      <alignment horizontal="center" vertical="center" wrapText="1"/>
    </xf>
    <xf numFmtId="4" fontId="31" fillId="46" borderId="2" xfId="0" applyNumberFormat="1" applyFont="1" applyFill="1" applyBorder="1" applyAlignment="1" applyProtection="1">
      <alignment horizontal="center" vertical="center" wrapText="1"/>
    </xf>
    <xf numFmtId="0" fontId="24" fillId="47" borderId="39" xfId="0" applyFont="1" applyFill="1" applyBorder="1" applyAlignment="1" applyProtection="1">
      <alignment horizontal="center" vertical="center"/>
    </xf>
    <xf numFmtId="0" fontId="24" fillId="47" borderId="39" xfId="0" applyFont="1" applyFill="1" applyBorder="1" applyAlignment="1" applyProtection="1">
      <alignment horizontal="center" vertical="center" wrapText="1"/>
    </xf>
    <xf numFmtId="4" fontId="31" fillId="47" borderId="2" xfId="0" applyNumberFormat="1" applyFont="1" applyFill="1" applyBorder="1" applyAlignment="1" applyProtection="1">
      <alignment horizontal="center" vertical="center" wrapText="1"/>
    </xf>
    <xf numFmtId="170" fontId="11" fillId="0" borderId="2" xfId="0" applyNumberFormat="1" applyFont="1" applyBorder="1" applyAlignment="1" applyProtection="1">
      <alignment horizontal="center" vertical="center"/>
    </xf>
    <xf numFmtId="0" fontId="14" fillId="0" borderId="0" xfId="0" applyFont="1" applyAlignment="1" applyProtection="1">
      <alignment horizontal="right" vertical="center"/>
    </xf>
    <xf numFmtId="44" fontId="14" fillId="0" borderId="20" xfId="0" applyNumberFormat="1" applyFont="1" applyBorder="1" applyAlignment="1" applyProtection="1">
      <alignment horizontal="right" vertical="center"/>
    </xf>
    <xf numFmtId="1" fontId="61" fillId="0" borderId="20" xfId="0" applyNumberFormat="1" applyFont="1" applyBorder="1" applyAlignment="1" applyProtection="1">
      <alignment horizontal="center" vertical="center"/>
    </xf>
    <xf numFmtId="44" fontId="61" fillId="0" borderId="20" xfId="0" applyNumberFormat="1" applyFont="1" applyBorder="1" applyAlignment="1" applyProtection="1">
      <alignment vertical="center"/>
    </xf>
    <xf numFmtId="0" fontId="13" fillId="0" borderId="20" xfId="0" applyFont="1" applyBorder="1" applyAlignment="1" applyProtection="1"/>
    <xf numFmtId="0" fontId="13" fillId="12" borderId="49" xfId="0" applyFont="1" applyFill="1" applyBorder="1" applyAlignment="1" applyProtection="1">
      <alignment horizontal="center" vertical="center" wrapText="1"/>
    </xf>
    <xf numFmtId="0" fontId="102" fillId="11" borderId="0" xfId="0" applyFont="1" applyFill="1" applyBorder="1" applyAlignment="1" applyProtection="1">
      <alignment horizontal="left" vertical="center"/>
    </xf>
    <xf numFmtId="4" fontId="20" fillId="15" borderId="44" xfId="0" applyNumberFormat="1" applyFont="1" applyFill="1" applyBorder="1" applyAlignment="1" applyProtection="1">
      <alignment horizontal="center" vertical="center"/>
    </xf>
    <xf numFmtId="10" fontId="13" fillId="0" borderId="3" xfId="3" applyNumberFormat="1" applyFont="1" applyFill="1" applyBorder="1" applyAlignment="1" applyProtection="1">
      <alignment horizontal="center" vertical="center" wrapText="1"/>
    </xf>
    <xf numFmtId="0" fontId="13" fillId="0" borderId="18" xfId="3" applyFont="1" applyBorder="1" applyAlignment="1" applyProtection="1">
      <alignment vertical="center"/>
    </xf>
    <xf numFmtId="0" fontId="13" fillId="0" borderId="3" xfId="3" applyFont="1" applyFill="1" applyBorder="1" applyAlignment="1" applyProtection="1">
      <alignment horizontal="left" vertical="center"/>
    </xf>
    <xf numFmtId="4" fontId="13" fillId="0" borderId="3" xfId="3" applyNumberFormat="1" applyFont="1" applyFill="1" applyBorder="1" applyAlignment="1" applyProtection="1">
      <alignment horizontal="right" vertical="center" indent="1"/>
    </xf>
    <xf numFmtId="164" fontId="14" fillId="0" borderId="3" xfId="1" applyFont="1" applyFill="1" applyBorder="1" applyAlignment="1" applyProtection="1">
      <alignment horizontal="right" vertical="center" indent="3"/>
    </xf>
    <xf numFmtId="10" fontId="14" fillId="0" borderId="0" xfId="3" applyNumberFormat="1" applyFont="1" applyFill="1" applyBorder="1" applyAlignment="1" applyProtection="1">
      <alignment horizontal="center" vertical="center" wrapText="1"/>
    </xf>
    <xf numFmtId="0" fontId="14" fillId="0" borderId="0" xfId="3" applyFont="1" applyFill="1" applyAlignment="1" applyProtection="1">
      <alignment horizontal="left" vertical="center"/>
    </xf>
    <xf numFmtId="2" fontId="13" fillId="0" borderId="0" xfId="3" applyNumberFormat="1" applyFont="1" applyFill="1" applyAlignment="1" applyProtection="1">
      <alignment horizontal="left" vertical="center"/>
    </xf>
    <xf numFmtId="0" fontId="35" fillId="0" borderId="0" xfId="0" applyFont="1" applyBorder="1" applyProtection="1"/>
    <xf numFmtId="0" fontId="52" fillId="11" borderId="128" xfId="0" applyFont="1" applyFill="1" applyBorder="1" applyAlignment="1" applyProtection="1">
      <alignment horizontal="center"/>
    </xf>
    <xf numFmtId="0" fontId="35" fillId="0" borderId="128" xfId="0" applyFont="1" applyBorder="1" applyProtection="1"/>
    <xf numFmtId="10" fontId="18" fillId="22" borderId="3" xfId="0" applyNumberFormat="1" applyFont="1" applyFill="1" applyBorder="1" applyAlignment="1" applyProtection="1">
      <alignment horizontal="justify" vertical="center"/>
      <protection locked="0"/>
    </xf>
    <xf numFmtId="10" fontId="21" fillId="22" borderId="41" xfId="0" applyNumberFormat="1" applyFont="1" applyFill="1" applyBorder="1" applyAlignment="1" applyProtection="1">
      <alignment horizontal="left" vertical="center" wrapText="1"/>
      <protection locked="0"/>
    </xf>
    <xf numFmtId="4" fontId="13" fillId="22" borderId="1" xfId="0" applyNumberFormat="1" applyFont="1" applyFill="1" applyBorder="1" applyAlignment="1" applyProtection="1">
      <alignment horizontal="right" vertical="center" indent="1"/>
      <protection locked="0"/>
    </xf>
    <xf numFmtId="10" fontId="18" fillId="22" borderId="3" xfId="0" applyNumberFormat="1" applyFont="1" applyFill="1" applyBorder="1" applyAlignment="1" applyProtection="1">
      <alignment horizontal="left" vertical="center" wrapText="1"/>
      <protection locked="0"/>
    </xf>
    <xf numFmtId="0" fontId="97" fillId="0" borderId="0" xfId="3" applyFont="1"/>
    <xf numFmtId="0" fontId="96" fillId="8" borderId="0" xfId="3" applyFont="1" applyFill="1" applyBorder="1" applyAlignment="1" applyProtection="1">
      <alignment horizontal="center"/>
    </xf>
    <xf numFmtId="0" fontId="96" fillId="8" borderId="0" xfId="3" applyFont="1" applyFill="1" applyBorder="1" applyAlignment="1" applyProtection="1">
      <alignment horizontal="center" vertical="center" wrapText="1"/>
    </xf>
    <xf numFmtId="0" fontId="97" fillId="0" borderId="0" xfId="3" applyFont="1" applyFill="1"/>
    <xf numFmtId="0" fontId="96" fillId="8" borderId="11" xfId="3" applyFont="1" applyFill="1" applyBorder="1" applyAlignment="1" applyProtection="1">
      <alignment wrapText="1"/>
    </xf>
    <xf numFmtId="0" fontId="96" fillId="8" borderId="131" xfId="3" applyFont="1" applyFill="1" applyBorder="1" applyAlignment="1" applyProtection="1">
      <alignment horizontal="center" wrapText="1"/>
    </xf>
    <xf numFmtId="0" fontId="97" fillId="0" borderId="0" xfId="3" applyFont="1" applyBorder="1" applyProtection="1"/>
    <xf numFmtId="0" fontId="97" fillId="0" borderId="0" xfId="3" applyFont="1" applyBorder="1" applyAlignment="1" applyProtection="1">
      <alignment vertical="center" wrapText="1"/>
    </xf>
    <xf numFmtId="0" fontId="97" fillId="0" borderId="0" xfId="3" applyFont="1" applyBorder="1" applyAlignment="1" applyProtection="1">
      <alignment vertical="center"/>
    </xf>
    <xf numFmtId="0" fontId="97" fillId="0" borderId="0" xfId="3" applyFont="1" applyBorder="1" applyAlignment="1" applyProtection="1">
      <alignment horizontal="right" vertical="center"/>
    </xf>
    <xf numFmtId="0" fontId="96" fillId="0" borderId="0" xfId="3" applyFont="1" applyBorder="1" applyAlignment="1" applyProtection="1">
      <alignment vertical="center"/>
    </xf>
    <xf numFmtId="0" fontId="97" fillId="50" borderId="7" xfId="3" applyFont="1" applyFill="1" applyBorder="1" applyAlignment="1" applyProtection="1">
      <alignment horizontal="center" vertical="center"/>
    </xf>
    <xf numFmtId="176" fontId="97" fillId="50" borderId="3" xfId="3" applyNumberFormat="1" applyFont="1" applyFill="1" applyBorder="1" applyAlignment="1" applyProtection="1">
      <alignment horizontal="center" vertical="center"/>
    </xf>
    <xf numFmtId="0" fontId="108" fillId="8" borderId="3" xfId="3" quotePrefix="1" applyFont="1" applyFill="1" applyBorder="1" applyAlignment="1" applyProtection="1">
      <alignment horizontal="left" vertical="center" wrapText="1"/>
    </xf>
    <xf numFmtId="0" fontId="97" fillId="0" borderId="3" xfId="3" applyFont="1" applyBorder="1" applyAlignment="1" applyProtection="1">
      <alignment horizontal="center" vertical="center"/>
    </xf>
    <xf numFmtId="0" fontId="97" fillId="0" borderId="5" xfId="3" applyFont="1" applyBorder="1" applyAlignment="1" applyProtection="1">
      <alignment horizontal="center" vertical="center"/>
    </xf>
    <xf numFmtId="0" fontId="97" fillId="0" borderId="3" xfId="3" applyFont="1" applyBorder="1" applyAlignment="1" applyProtection="1">
      <alignment horizontal="left" vertical="center"/>
    </xf>
    <xf numFmtId="170" fontId="5" fillId="0" borderId="3" xfId="3" applyNumberFormat="1" applyFont="1" applyBorder="1" applyAlignment="1" applyProtection="1">
      <alignment horizontal="right" vertical="center" indent="1"/>
    </xf>
    <xf numFmtId="177" fontId="108" fillId="8" borderId="3" xfId="3" applyNumberFormat="1" applyFont="1" applyFill="1" applyBorder="1" applyAlignment="1" applyProtection="1">
      <alignment vertical="center"/>
    </xf>
    <xf numFmtId="170" fontId="97" fillId="0" borderId="3" xfId="3" applyNumberFormat="1" applyFont="1" applyBorder="1" applyAlignment="1" applyProtection="1">
      <alignment horizontal="right" vertical="center" indent="1"/>
    </xf>
    <xf numFmtId="177" fontId="109" fillId="8" borderId="3" xfId="3" applyNumberFormat="1" applyFont="1" applyFill="1" applyBorder="1" applyAlignment="1" applyProtection="1">
      <alignment vertical="center"/>
    </xf>
    <xf numFmtId="0" fontId="96" fillId="8" borderId="0" xfId="3" applyFont="1" applyFill="1" applyBorder="1" applyAlignment="1" applyProtection="1">
      <alignment horizontal="right" vertical="center"/>
    </xf>
    <xf numFmtId="170" fontId="96" fillId="42" borderId="3" xfId="3" applyNumberFormat="1" applyFont="1" applyFill="1" applyBorder="1" applyAlignment="1" applyProtection="1">
      <alignment horizontal="right" vertical="center" indent="1"/>
    </xf>
    <xf numFmtId="177" fontId="110" fillId="8" borderId="1" xfId="3" applyNumberFormat="1" applyFont="1" applyFill="1" applyBorder="1" applyAlignment="1" applyProtection="1">
      <alignment vertical="center"/>
    </xf>
    <xf numFmtId="177" fontId="96" fillId="8" borderId="0" xfId="3" applyNumberFormat="1" applyFont="1" applyFill="1" applyBorder="1" applyAlignment="1" applyProtection="1">
      <alignment vertical="center"/>
    </xf>
    <xf numFmtId="170" fontId="96" fillId="0" borderId="0" xfId="3" applyNumberFormat="1" applyFont="1" applyFill="1" applyBorder="1" applyAlignment="1" applyProtection="1">
      <alignment horizontal="right" vertical="center" indent="1"/>
    </xf>
    <xf numFmtId="0" fontId="97" fillId="0" borderId="0" xfId="3" applyFont="1" applyAlignment="1">
      <alignment vertical="center" wrapText="1"/>
    </xf>
    <xf numFmtId="0" fontId="5" fillId="0" borderId="3" xfId="0" applyFont="1" applyBorder="1" applyAlignment="1" applyProtection="1">
      <alignment vertical="center" wrapText="1"/>
    </xf>
    <xf numFmtId="0" fontId="0" fillId="0" borderId="3" xfId="0" applyBorder="1" applyAlignment="1" applyProtection="1">
      <alignment vertical="center" wrapText="1"/>
    </xf>
    <xf numFmtId="2" fontId="0" fillId="0" borderId="3" xfId="0" applyNumberFormat="1" applyBorder="1" applyAlignment="1" applyProtection="1">
      <alignment horizontal="right" vertical="center"/>
    </xf>
    <xf numFmtId="0" fontId="14" fillId="0" borderId="3" xfId="0" applyFont="1" applyBorder="1" applyAlignment="1" applyProtection="1">
      <alignment horizontal="center" vertical="center" wrapText="1"/>
    </xf>
    <xf numFmtId="0" fontId="14" fillId="5" borderId="3" xfId="3" applyFont="1" applyFill="1" applyBorder="1" applyAlignment="1" applyProtection="1">
      <alignment horizontal="center" vertical="center" wrapText="1"/>
    </xf>
    <xf numFmtId="0" fontId="13" fillId="0" borderId="18" xfId="3" applyFont="1" applyFill="1" applyBorder="1" applyAlignment="1" applyProtection="1">
      <alignment horizontal="center" vertical="center" wrapText="1"/>
    </xf>
    <xf numFmtId="0" fontId="0" fillId="0" borderId="0" xfId="0" applyBorder="1" applyAlignment="1" applyProtection="1">
      <alignment wrapText="1"/>
    </xf>
    <xf numFmtId="178" fontId="29" fillId="15" borderId="0" xfId="0" applyNumberFormat="1" applyFont="1" applyFill="1" applyBorder="1" applyAlignment="1" applyProtection="1">
      <alignment horizontal="center" vertical="center"/>
    </xf>
    <xf numFmtId="0" fontId="61" fillId="0" borderId="0" xfId="0" applyFont="1" applyFill="1" applyBorder="1" applyAlignment="1" applyProtection="1">
      <alignment horizontal="center" vertical="center"/>
    </xf>
    <xf numFmtId="0" fontId="20" fillId="0" borderId="0" xfId="0" applyFont="1" applyFill="1" applyBorder="1" applyAlignment="1" applyProtection="1">
      <alignment vertical="top"/>
    </xf>
    <xf numFmtId="165" fontId="14" fillId="0" borderId="1" xfId="0" applyNumberFormat="1" applyFont="1" applyFill="1" applyBorder="1" applyAlignment="1" applyProtection="1">
      <alignment horizontal="right" vertical="center" indent="1"/>
    </xf>
    <xf numFmtId="165" fontId="13" fillId="0" borderId="16" xfId="0" applyNumberFormat="1" applyFont="1" applyFill="1" applyBorder="1" applyAlignment="1" applyProtection="1">
      <alignment horizontal="right" vertical="center" indent="1"/>
    </xf>
    <xf numFmtId="165" fontId="13" fillId="0" borderId="4" xfId="0" applyNumberFormat="1" applyFont="1" applyFill="1" applyBorder="1" applyAlignment="1" applyProtection="1">
      <alignment horizontal="right" vertical="center" indent="1"/>
    </xf>
    <xf numFmtId="0" fontId="13" fillId="0" borderId="4" xfId="3" applyFont="1" applyFill="1" applyBorder="1" applyAlignment="1" applyProtection="1">
      <alignment horizontal="center" vertical="center" wrapText="1"/>
    </xf>
    <xf numFmtId="0" fontId="0" fillId="0" borderId="3" xfId="0" applyBorder="1" applyAlignment="1" applyProtection="1">
      <alignment vertical="center"/>
    </xf>
    <xf numFmtId="4" fontId="97" fillId="0" borderId="3" xfId="3" applyNumberFormat="1" applyFont="1" applyBorder="1" applyAlignment="1" applyProtection="1">
      <alignment horizontal="right" vertical="center"/>
    </xf>
    <xf numFmtId="166" fontId="96" fillId="0" borderId="3" xfId="3" applyNumberFormat="1" applyFont="1" applyBorder="1" applyAlignment="1" applyProtection="1">
      <alignment horizontal="right" vertical="center"/>
    </xf>
    <xf numFmtId="0" fontId="0" fillId="0" borderId="0" xfId="0" applyBorder="1" applyAlignment="1" applyProtection="1">
      <alignment vertical="center"/>
    </xf>
    <xf numFmtId="4" fontId="111" fillId="0" borderId="3" xfId="3" applyNumberFormat="1" applyFont="1" applyBorder="1" applyAlignment="1" applyProtection="1">
      <alignment horizontal="right" vertical="center"/>
    </xf>
    <xf numFmtId="0" fontId="0" fillId="0" borderId="20" xfId="0" applyBorder="1" applyAlignment="1" applyProtection="1">
      <alignment vertical="center"/>
    </xf>
    <xf numFmtId="0" fontId="0" fillId="0" borderId="15" xfId="0" applyBorder="1" applyAlignment="1" applyProtection="1">
      <alignment vertical="center"/>
    </xf>
    <xf numFmtId="0" fontId="37" fillId="11" borderId="0" xfId="0" applyFont="1" applyFill="1" applyBorder="1" applyAlignment="1" applyProtection="1">
      <alignment horizontal="center" vertical="center"/>
    </xf>
    <xf numFmtId="4" fontId="97" fillId="0" borderId="20" xfId="3" applyNumberFormat="1" applyFont="1" applyBorder="1" applyAlignment="1" applyProtection="1">
      <alignment horizontal="right" vertical="center"/>
    </xf>
    <xf numFmtId="166" fontId="96" fillId="0" borderId="20" xfId="3" applyNumberFormat="1" applyFont="1" applyBorder="1" applyAlignment="1" applyProtection="1">
      <alignment horizontal="right" vertical="center"/>
    </xf>
    <xf numFmtId="4" fontId="97" fillId="0" borderId="0" xfId="3" applyNumberFormat="1" applyFont="1" applyBorder="1" applyAlignment="1" applyProtection="1">
      <alignment horizontal="right" vertical="center"/>
    </xf>
    <xf numFmtId="166" fontId="96" fillId="0" borderId="0" xfId="3" applyNumberFormat="1" applyFont="1" applyBorder="1" applyAlignment="1" applyProtection="1">
      <alignment horizontal="right" vertical="center"/>
    </xf>
    <xf numFmtId="0" fontId="112" fillId="11" borderId="0" xfId="0" applyFont="1" applyFill="1" applyBorder="1" applyAlignment="1" applyProtection="1">
      <alignment wrapText="1"/>
    </xf>
    <xf numFmtId="0" fontId="113" fillId="11" borderId="0" xfId="0" applyFont="1" applyFill="1" applyBorder="1" applyAlignment="1" applyProtection="1">
      <alignment horizontal="left" vertical="center" wrapText="1"/>
    </xf>
    <xf numFmtId="4" fontId="113" fillId="0" borderId="0" xfId="0" applyNumberFormat="1" applyFont="1" applyFill="1" applyBorder="1" applyAlignment="1" applyProtection="1">
      <alignment horizontal="center"/>
    </xf>
    <xf numFmtId="0" fontId="113" fillId="11" borderId="0" xfId="0" applyFont="1" applyFill="1" applyBorder="1" applyAlignment="1" applyProtection="1">
      <alignment vertical="center" wrapText="1"/>
    </xf>
    <xf numFmtId="4" fontId="13" fillId="0" borderId="44" xfId="0" applyNumberFormat="1" applyFont="1" applyFill="1" applyBorder="1" applyAlignment="1" applyProtection="1">
      <alignment horizontal="right" vertical="center"/>
    </xf>
    <xf numFmtId="4" fontId="11" fillId="0" borderId="0" xfId="0" applyNumberFormat="1" applyFont="1" applyFill="1" applyBorder="1" applyAlignment="1" applyProtection="1">
      <alignment horizontal="left" vertical="center"/>
    </xf>
    <xf numFmtId="0" fontId="86" fillId="0" borderId="0" xfId="3" applyFont="1" applyFill="1" applyBorder="1" applyAlignment="1" applyProtection="1">
      <alignment horizontal="right" vertical="center" wrapText="1"/>
    </xf>
    <xf numFmtId="0" fontId="11" fillId="0" borderId="3" xfId="0" applyFont="1" applyBorder="1" applyAlignment="1" applyProtection="1">
      <alignment horizontal="center" vertical="center" wrapText="1"/>
    </xf>
    <xf numFmtId="0" fontId="11" fillId="0" borderId="3" xfId="0" applyFont="1" applyBorder="1" applyAlignment="1" applyProtection="1">
      <alignment horizontal="left" vertical="center" wrapText="1"/>
    </xf>
    <xf numFmtId="3" fontId="11" fillId="11" borderId="3" xfId="0" applyNumberFormat="1" applyFont="1" applyFill="1" applyBorder="1" applyAlignment="1" applyProtection="1">
      <alignment horizontal="center" vertical="center"/>
    </xf>
    <xf numFmtId="2" fontId="11" fillId="11" borderId="3" xfId="0" applyNumberFormat="1" applyFont="1" applyFill="1" applyBorder="1" applyAlignment="1" applyProtection="1">
      <alignment horizontal="center" vertical="center"/>
    </xf>
    <xf numFmtId="4" fontId="11" fillId="44" borderId="3" xfId="0" applyNumberFormat="1" applyFont="1" applyFill="1" applyBorder="1" applyAlignment="1" applyProtection="1">
      <alignment horizontal="center" vertical="center" wrapText="1"/>
    </xf>
    <xf numFmtId="0" fontId="11" fillId="0" borderId="3" xfId="0" applyFont="1" applyFill="1" applyBorder="1" applyAlignment="1" applyProtection="1">
      <alignment horizontal="center" vertical="center" wrapText="1"/>
    </xf>
    <xf numFmtId="3" fontId="11" fillId="51" borderId="3" xfId="0" applyNumberFormat="1" applyFont="1" applyFill="1" applyBorder="1" applyAlignment="1" applyProtection="1">
      <alignment horizontal="center" vertical="center"/>
    </xf>
    <xf numFmtId="4" fontId="97" fillId="0" borderId="1" xfId="3" applyNumberFormat="1" applyFont="1" applyBorder="1" applyAlignment="1" applyProtection="1">
      <alignment horizontal="right" vertical="center"/>
    </xf>
    <xf numFmtId="0" fontId="11" fillId="0" borderId="39" xfId="0" applyFont="1" applyFill="1" applyBorder="1" applyAlignment="1" applyProtection="1">
      <alignment horizontal="center" vertical="center" wrapText="1"/>
    </xf>
    <xf numFmtId="0" fontId="11" fillId="0" borderId="39" xfId="0" applyFont="1" applyFill="1" applyBorder="1" applyAlignment="1" applyProtection="1">
      <alignment horizontal="left" vertical="center" wrapText="1"/>
    </xf>
    <xf numFmtId="0" fontId="11" fillId="0" borderId="46" xfId="0" applyFont="1" applyFill="1" applyBorder="1" applyAlignment="1" applyProtection="1">
      <alignment horizontal="center" vertical="center" wrapText="1"/>
    </xf>
    <xf numFmtId="0" fontId="11" fillId="0" borderId="46" xfId="0" applyFont="1" applyFill="1" applyBorder="1" applyAlignment="1" applyProtection="1">
      <alignment horizontal="left" vertical="center" wrapText="1"/>
    </xf>
    <xf numFmtId="0" fontId="11" fillId="0" borderId="132" xfId="0" applyFont="1" applyFill="1" applyBorder="1" applyAlignment="1" applyProtection="1">
      <alignment horizontal="center" vertical="center" wrapText="1"/>
    </xf>
    <xf numFmtId="0" fontId="11" fillId="0" borderId="133" xfId="0" applyFont="1" applyFill="1" applyBorder="1" applyAlignment="1" applyProtection="1">
      <alignment horizontal="left" vertical="center" wrapText="1"/>
    </xf>
    <xf numFmtId="0" fontId="11" fillId="0" borderId="3" xfId="0" applyFont="1" applyFill="1" applyBorder="1" applyAlignment="1" applyProtection="1">
      <alignment horizontal="left" vertical="center" wrapText="1"/>
    </xf>
    <xf numFmtId="0" fontId="11" fillId="0" borderId="41" xfId="0" applyFont="1" applyFill="1" applyBorder="1" applyAlignment="1" applyProtection="1">
      <alignment horizontal="center" vertical="center" wrapText="1"/>
    </xf>
    <xf numFmtId="0" fontId="11" fillId="0" borderId="41" xfId="0" applyFont="1" applyFill="1" applyBorder="1" applyAlignment="1" applyProtection="1">
      <alignment horizontal="left" vertical="center" wrapText="1"/>
    </xf>
    <xf numFmtId="0" fontId="11" fillId="0" borderId="39" xfId="0" quotePrefix="1" applyFont="1" applyFill="1" applyBorder="1" applyAlignment="1" applyProtection="1">
      <alignment horizontal="center" vertical="center" wrapText="1"/>
    </xf>
    <xf numFmtId="0" fontId="11" fillId="0" borderId="51" xfId="0" applyFont="1" applyFill="1" applyBorder="1" applyAlignment="1" applyProtection="1">
      <alignment horizontal="left" vertical="center" wrapText="1"/>
    </xf>
    <xf numFmtId="0" fontId="11" fillId="0" borderId="49" xfId="0" applyFont="1" applyFill="1" applyBorder="1" applyAlignment="1" applyProtection="1">
      <alignment horizontal="center" vertical="center" wrapText="1"/>
    </xf>
    <xf numFmtId="0" fontId="11" fillId="0" borderId="132" xfId="0" applyFont="1" applyFill="1" applyBorder="1" applyAlignment="1" applyProtection="1">
      <alignment horizontal="left" vertical="center" wrapText="1"/>
    </xf>
    <xf numFmtId="0" fontId="14" fillId="0" borderId="1" xfId="3" applyFont="1" applyFill="1" applyBorder="1" applyAlignment="1" applyProtection="1">
      <alignment horizontal="center" vertical="center" wrapText="1"/>
    </xf>
    <xf numFmtId="0" fontId="14" fillId="0" borderId="3" xfId="3" applyFont="1" applyFill="1" applyBorder="1" applyAlignment="1" applyProtection="1">
      <alignment horizontal="center" vertical="center" wrapText="1"/>
    </xf>
    <xf numFmtId="0" fontId="31" fillId="11" borderId="0" xfId="0" applyFont="1" applyFill="1" applyBorder="1" applyAlignment="1" applyProtection="1">
      <alignment horizontal="left" vertical="center" wrapText="1"/>
    </xf>
    <xf numFmtId="4" fontId="31" fillId="0" borderId="0" xfId="0" applyNumberFormat="1" applyFont="1" applyFill="1" applyBorder="1" applyAlignment="1" applyProtection="1">
      <alignment horizontal="left" vertical="center"/>
    </xf>
    <xf numFmtId="0" fontId="14" fillId="18" borderId="0" xfId="0" applyFont="1" applyFill="1" applyBorder="1" applyAlignment="1" applyProtection="1">
      <alignment horizontal="left" vertical="center" wrapText="1"/>
    </xf>
    <xf numFmtId="0" fontId="11" fillId="0" borderId="0" xfId="0" applyFont="1" applyAlignment="1" applyProtection="1">
      <alignment horizontal="center"/>
    </xf>
    <xf numFmtId="0" fontId="13" fillId="0" borderId="0" xfId="0" applyFont="1" applyAlignment="1" applyProtection="1"/>
    <xf numFmtId="44" fontId="13" fillId="0" borderId="1" xfId="0" applyNumberFormat="1" applyFont="1" applyBorder="1" applyAlignment="1" applyProtection="1">
      <alignment horizontal="center" vertical="center"/>
    </xf>
    <xf numFmtId="0" fontId="46" fillId="15" borderId="0" xfId="0" applyFont="1" applyFill="1" applyBorder="1" applyAlignment="1" applyProtection="1">
      <alignment horizontal="right" vertical="center" wrapText="1"/>
    </xf>
    <xf numFmtId="0" fontId="20" fillId="0" borderId="3" xfId="0" applyFont="1" applyFill="1" applyBorder="1" applyAlignment="1" applyProtection="1">
      <alignment horizontal="left" vertical="center" wrapText="1"/>
    </xf>
    <xf numFmtId="0" fontId="19" fillId="18" borderId="53" xfId="4" applyFont="1" applyFill="1" applyBorder="1" applyAlignment="1" applyProtection="1">
      <alignment horizontal="left"/>
    </xf>
    <xf numFmtId="0" fontId="23" fillId="18" borderId="0" xfId="3" applyFont="1" applyFill="1" applyBorder="1" applyAlignment="1" applyProtection="1">
      <alignment horizontal="right" vertical="center" wrapText="1"/>
    </xf>
    <xf numFmtId="0" fontId="14" fillId="18" borderId="0" xfId="0" applyFont="1" applyFill="1" applyBorder="1" applyAlignment="1" applyProtection="1">
      <alignment horizontal="center" vertical="center"/>
    </xf>
    <xf numFmtId="0" fontId="31" fillId="0" borderId="13" xfId="0" applyFont="1" applyBorder="1" applyAlignment="1" applyProtection="1">
      <alignment horizontal="center" vertical="center"/>
    </xf>
    <xf numFmtId="0" fontId="39" fillId="0" borderId="0" xfId="0" applyFont="1" applyBorder="1" applyProtection="1"/>
    <xf numFmtId="0" fontId="13" fillId="5" borderId="0" xfId="3" applyFont="1" applyFill="1" applyBorder="1" applyAlignment="1" applyProtection="1">
      <alignment horizontal="left"/>
    </xf>
    <xf numFmtId="0" fontId="35" fillId="5" borderId="0" xfId="3" applyFont="1" applyFill="1" applyBorder="1" applyAlignment="1" applyProtection="1">
      <alignment horizontal="center" vertical="center" wrapText="1"/>
    </xf>
    <xf numFmtId="0" fontId="13" fillId="0" borderId="54" xfId="0" applyFont="1" applyBorder="1" applyProtection="1"/>
    <xf numFmtId="0" fontId="14" fillId="4" borderId="1" xfId="3" applyFont="1" applyFill="1" applyBorder="1" applyAlignment="1" applyProtection="1">
      <alignment horizontal="center" vertical="center"/>
    </xf>
    <xf numFmtId="0" fontId="13" fillId="0" borderId="1" xfId="3" applyFont="1" applyBorder="1" applyAlignment="1" applyProtection="1">
      <alignment horizontal="center" vertical="center"/>
    </xf>
    <xf numFmtId="0" fontId="14" fillId="35" borderId="29" xfId="3" applyFont="1" applyFill="1" applyBorder="1" applyAlignment="1" applyProtection="1">
      <alignment horizontal="center" vertical="center" wrapText="1"/>
    </xf>
    <xf numFmtId="0" fontId="13" fillId="0" borderId="0" xfId="3" applyFont="1" applyBorder="1" applyAlignment="1" applyProtection="1">
      <alignment horizontal="left" vertical="center" wrapText="1"/>
    </xf>
    <xf numFmtId="0" fontId="14" fillId="0" borderId="0" xfId="3" applyFont="1" applyFill="1" applyBorder="1" applyAlignment="1" applyProtection="1">
      <alignment horizontal="center" vertical="center" wrapText="1"/>
    </xf>
    <xf numFmtId="0" fontId="13" fillId="5" borderId="0" xfId="3" applyFont="1" applyFill="1" applyBorder="1" applyAlignment="1" applyProtection="1">
      <alignment horizontal="center" vertical="center"/>
    </xf>
    <xf numFmtId="0" fontId="14" fillId="6" borderId="2" xfId="3" applyFont="1" applyFill="1" applyBorder="1" applyAlignment="1" applyProtection="1">
      <alignment horizontal="center" vertical="center" wrapText="1"/>
    </xf>
    <xf numFmtId="0" fontId="14" fillId="6" borderId="31" xfId="3" applyFont="1" applyFill="1" applyBorder="1" applyAlignment="1" applyProtection="1">
      <alignment horizontal="center" vertical="center" wrapText="1"/>
    </xf>
    <xf numFmtId="0" fontId="97" fillId="8" borderId="0" xfId="3" applyFont="1" applyFill="1" applyBorder="1" applyAlignment="1" applyProtection="1">
      <alignment horizontal="center" vertical="center"/>
    </xf>
    <xf numFmtId="169" fontId="24" fillId="52" borderId="91" xfId="0" applyNumberFormat="1" applyFont="1" applyFill="1" applyBorder="1" applyAlignment="1" applyProtection="1">
      <alignment horizontal="right" vertical="center" indent="2"/>
      <protection locked="0"/>
    </xf>
    <xf numFmtId="169" fontId="24" fillId="52" borderId="94" xfId="0" applyNumberFormat="1" applyFont="1" applyFill="1" applyBorder="1" applyAlignment="1" applyProtection="1">
      <alignment horizontal="right" vertical="center" indent="2"/>
      <protection locked="0"/>
    </xf>
    <xf numFmtId="10" fontId="24" fillId="52" borderId="94" xfId="0" applyNumberFormat="1" applyFont="1" applyFill="1" applyBorder="1" applyAlignment="1" applyProtection="1">
      <alignment horizontal="right" vertical="center" indent="2"/>
      <protection locked="0"/>
    </xf>
    <xf numFmtId="10" fontId="31" fillId="43" borderId="96" xfId="2" applyNumberFormat="1" applyFont="1" applyFill="1" applyBorder="1" applyAlignment="1" applyProtection="1">
      <alignment horizontal="right" indent="2"/>
      <protection locked="0"/>
    </xf>
    <xf numFmtId="4" fontId="76" fillId="37" borderId="3" xfId="6" applyNumberFormat="1" applyFont="1" applyFill="1" applyBorder="1" applyAlignment="1" applyProtection="1">
      <alignment horizontal="right" vertical="center"/>
    </xf>
    <xf numFmtId="49" fontId="28" fillId="24" borderId="39" xfId="0" applyNumberFormat="1" applyFont="1" applyFill="1" applyBorder="1" applyAlignment="1" applyProtection="1">
      <alignment horizontal="center" vertical="center" wrapText="1"/>
      <protection locked="0"/>
    </xf>
    <xf numFmtId="14" fontId="28" fillId="24" borderId="41" xfId="0" applyNumberFormat="1" applyFont="1" applyFill="1" applyBorder="1" applyAlignment="1" applyProtection="1">
      <alignment horizontal="center" vertical="center" wrapText="1"/>
      <protection locked="0"/>
    </xf>
    <xf numFmtId="4" fontId="14" fillId="23" borderId="52" xfId="0" applyNumberFormat="1" applyFont="1" applyFill="1" applyBorder="1" applyAlignment="1" applyProtection="1">
      <alignment horizontal="center" vertical="center" wrapText="1"/>
      <protection locked="0"/>
    </xf>
    <xf numFmtId="164" fontId="13" fillId="24" borderId="39" xfId="1" applyFont="1" applyFill="1" applyBorder="1" applyAlignment="1" applyProtection="1">
      <alignment horizontal="center" vertical="center" wrapText="1"/>
      <protection locked="0"/>
    </xf>
    <xf numFmtId="164" fontId="13" fillId="24" borderId="44" xfId="1" applyFont="1" applyFill="1" applyBorder="1" applyAlignment="1" applyProtection="1">
      <alignment horizontal="center" vertical="center" wrapText="1"/>
      <protection locked="0"/>
    </xf>
    <xf numFmtId="164" fontId="13" fillId="24" borderId="84" xfId="1" applyFont="1" applyFill="1" applyBorder="1" applyAlignment="1" applyProtection="1">
      <alignment horizontal="center" vertical="center" wrapText="1"/>
      <protection locked="0"/>
    </xf>
    <xf numFmtId="164" fontId="13" fillId="24" borderId="81" xfId="1" applyFont="1" applyFill="1" applyBorder="1" applyAlignment="1" applyProtection="1">
      <alignment horizontal="center" vertical="center" wrapText="1"/>
      <protection locked="0"/>
    </xf>
    <xf numFmtId="170" fontId="13" fillId="24" borderId="49" xfId="0" applyNumberFormat="1" applyFont="1" applyFill="1" applyBorder="1" applyAlignment="1" applyProtection="1">
      <alignment horizontal="center" vertical="center"/>
      <protection locked="0"/>
    </xf>
    <xf numFmtId="167" fontId="13" fillId="24" borderId="49" xfId="0" applyNumberFormat="1" applyFont="1" applyFill="1" applyBorder="1" applyAlignment="1" applyProtection="1">
      <alignment horizontal="center" vertical="center"/>
      <protection locked="0"/>
    </xf>
    <xf numFmtId="10" fontId="13" fillId="24" borderId="83" xfId="0" applyNumberFormat="1" applyFont="1" applyFill="1" applyBorder="1" applyAlignment="1" applyProtection="1">
      <alignment horizontal="center" vertical="center" wrapText="1"/>
      <protection locked="0"/>
    </xf>
    <xf numFmtId="0" fontId="14" fillId="22" borderId="3" xfId="0" applyFont="1" applyFill="1" applyBorder="1" applyAlignment="1" applyProtection="1">
      <alignment horizontal="center" vertical="center"/>
      <protection locked="0"/>
    </xf>
    <xf numFmtId="4" fontId="13" fillId="22" borderId="3" xfId="0" applyNumberFormat="1" applyFont="1" applyFill="1" applyBorder="1" applyAlignment="1" applyProtection="1">
      <alignment horizontal="right" vertical="center" indent="1"/>
      <protection locked="0"/>
    </xf>
    <xf numFmtId="0" fontId="13" fillId="22" borderId="3" xfId="0" applyFont="1" applyFill="1" applyBorder="1" applyAlignment="1" applyProtection="1">
      <alignment horizontal="center" vertical="center"/>
      <protection locked="0"/>
    </xf>
    <xf numFmtId="168" fontId="20" fillId="22" borderId="3" xfId="0" applyNumberFormat="1" applyFont="1" applyFill="1" applyBorder="1" applyAlignment="1" applyProtection="1">
      <alignment horizontal="center" vertical="center"/>
      <protection locked="0"/>
    </xf>
    <xf numFmtId="4" fontId="13" fillId="22" borderId="4" xfId="0" applyNumberFormat="1" applyFont="1" applyFill="1" applyBorder="1" applyAlignment="1" applyProtection="1">
      <alignment horizontal="right" vertical="center" indent="1"/>
      <protection locked="0"/>
    </xf>
    <xf numFmtId="165" fontId="13" fillId="23" borderId="4" xfId="0" applyNumberFormat="1" applyFont="1" applyFill="1" applyBorder="1" applyAlignment="1" applyProtection="1">
      <alignment horizontal="right" vertical="center" indent="1"/>
      <protection locked="0"/>
    </xf>
    <xf numFmtId="10" fontId="18" fillId="23" borderId="3" xfId="0" applyNumberFormat="1" applyFont="1" applyFill="1" applyBorder="1" applyAlignment="1" applyProtection="1">
      <alignment horizontal="left" vertical="center" wrapText="1"/>
      <protection locked="0"/>
    </xf>
    <xf numFmtId="165" fontId="13" fillId="22" borderId="3" xfId="0" applyNumberFormat="1" applyFont="1" applyFill="1" applyBorder="1" applyAlignment="1" applyProtection="1">
      <alignment horizontal="right" vertical="center" indent="1"/>
      <protection locked="0"/>
    </xf>
    <xf numFmtId="10" fontId="18" fillId="23" borderId="3" xfId="0" applyNumberFormat="1" applyFont="1" applyFill="1" applyBorder="1" applyAlignment="1" applyProtection="1">
      <alignment horizontal="justify" vertical="center" wrapText="1"/>
      <protection locked="0"/>
    </xf>
    <xf numFmtId="10" fontId="94" fillId="53" borderId="3" xfId="0" applyNumberFormat="1" applyFont="1" applyFill="1" applyBorder="1" applyAlignment="1" applyProtection="1">
      <alignment horizontal="center" vertical="center"/>
      <protection locked="0"/>
    </xf>
    <xf numFmtId="175" fontId="94" fillId="53" borderId="3" xfId="0" applyNumberFormat="1" applyFont="1" applyFill="1" applyBorder="1" applyAlignment="1" applyProtection="1">
      <alignment horizontal="center" vertical="center"/>
      <protection locked="0"/>
    </xf>
    <xf numFmtId="170" fontId="31" fillId="53" borderId="3" xfId="0" applyNumberFormat="1" applyFont="1" applyFill="1" applyBorder="1" applyAlignment="1" applyProtection="1">
      <alignment horizontal="center" vertical="center"/>
      <protection locked="0"/>
    </xf>
    <xf numFmtId="0" fontId="11" fillId="54" borderId="3" xfId="0" applyFont="1" applyFill="1" applyBorder="1" applyAlignment="1" applyProtection="1">
      <alignment horizontal="left" vertical="center" wrapText="1"/>
      <protection locked="0"/>
    </xf>
    <xf numFmtId="0" fontId="13" fillId="43" borderId="3" xfId="3" applyFont="1" applyFill="1" applyBorder="1" applyAlignment="1" applyProtection="1">
      <alignment horizontal="center" vertical="center" wrapText="1"/>
      <protection locked="0"/>
    </xf>
    <xf numFmtId="175" fontId="31" fillId="53" borderId="3" xfId="0" applyNumberFormat="1" applyFont="1" applyFill="1" applyBorder="1" applyAlignment="1" applyProtection="1">
      <alignment horizontal="center" vertical="center"/>
      <protection locked="0"/>
    </xf>
    <xf numFmtId="170" fontId="13" fillId="43" borderId="3" xfId="3" applyNumberFormat="1" applyFont="1" applyFill="1" applyBorder="1" applyAlignment="1" applyProtection="1">
      <alignment horizontal="center" vertical="center"/>
      <protection locked="0"/>
    </xf>
    <xf numFmtId="0" fontId="13" fillId="43" borderId="1" xfId="3" applyFont="1" applyFill="1" applyBorder="1" applyAlignment="1" applyProtection="1">
      <alignment horizontal="left" vertical="center"/>
      <protection locked="0"/>
    </xf>
    <xf numFmtId="0" fontId="13" fillId="43" borderId="3" xfId="3" applyFont="1" applyFill="1" applyBorder="1" applyAlignment="1" applyProtection="1">
      <alignment horizontal="center" vertical="center"/>
      <protection locked="0"/>
    </xf>
    <xf numFmtId="0" fontId="97" fillId="49" borderId="3" xfId="3" applyFont="1" applyFill="1" applyBorder="1" applyAlignment="1" applyProtection="1">
      <alignment horizontal="center" vertical="center"/>
      <protection locked="0"/>
    </xf>
    <xf numFmtId="1" fontId="13" fillId="23" borderId="3" xfId="0" applyNumberFormat="1" applyFont="1" applyFill="1" applyBorder="1" applyAlignment="1" applyProtection="1">
      <alignment horizontal="center" vertical="center"/>
      <protection locked="0"/>
    </xf>
    <xf numFmtId="170" fontId="13" fillId="41" borderId="3" xfId="3" applyNumberFormat="1" applyFont="1" applyFill="1" applyBorder="1" applyAlignment="1" applyProtection="1">
      <alignment horizontal="center" vertical="center"/>
      <protection locked="0"/>
    </xf>
    <xf numFmtId="4" fontId="11" fillId="23" borderId="3" xfId="0" applyNumberFormat="1" applyFont="1" applyFill="1" applyBorder="1" applyAlignment="1" applyProtection="1">
      <alignment horizontal="center" vertical="center" wrapText="1"/>
      <protection locked="0"/>
    </xf>
    <xf numFmtId="0" fontId="13" fillId="23" borderId="1" xfId="3" applyFont="1" applyFill="1" applyBorder="1" applyAlignment="1" applyProtection="1">
      <alignment horizontal="left" vertical="center"/>
      <protection locked="0"/>
    </xf>
    <xf numFmtId="0" fontId="11" fillId="23" borderId="3" xfId="0" applyFont="1" applyFill="1" applyBorder="1" applyAlignment="1" applyProtection="1">
      <alignment horizontal="center" vertical="center" wrapText="1"/>
      <protection locked="0"/>
    </xf>
    <xf numFmtId="44" fontId="13" fillId="0" borderId="1" xfId="0" applyNumberFormat="1" applyFont="1" applyBorder="1" applyAlignment="1" applyProtection="1">
      <alignment horizontal="center" vertical="center"/>
    </xf>
    <xf numFmtId="44" fontId="13" fillId="0" borderId="5" xfId="0" applyNumberFormat="1" applyFont="1" applyBorder="1" applyAlignment="1" applyProtection="1">
      <alignment horizontal="center" vertical="center"/>
    </xf>
    <xf numFmtId="4" fontId="31" fillId="13" borderId="1" xfId="0" applyNumberFormat="1" applyFont="1" applyFill="1" applyBorder="1" applyAlignment="1" applyProtection="1">
      <alignment horizontal="center" vertical="center" wrapText="1"/>
    </xf>
    <xf numFmtId="4" fontId="31" fillId="13" borderId="5" xfId="0" applyNumberFormat="1" applyFont="1" applyFill="1" applyBorder="1" applyAlignment="1" applyProtection="1">
      <alignment horizontal="center" vertical="center" wrapText="1"/>
    </xf>
    <xf numFmtId="44" fontId="14" fillId="0" borderId="9" xfId="0" applyNumberFormat="1" applyFont="1" applyBorder="1" applyAlignment="1" applyProtection="1">
      <alignment horizontal="center" vertical="center"/>
    </xf>
    <xf numFmtId="44" fontId="14" fillId="0" borderId="13" xfId="0" applyNumberFormat="1" applyFont="1" applyBorder="1" applyAlignment="1" applyProtection="1">
      <alignment horizontal="center" vertical="center"/>
    </xf>
    <xf numFmtId="0" fontId="23" fillId="33" borderId="4" xfId="0" applyFont="1" applyFill="1" applyBorder="1" applyAlignment="1" applyProtection="1">
      <alignment horizontal="center" vertical="center" wrapText="1"/>
    </xf>
    <xf numFmtId="0" fontId="53" fillId="5" borderId="0" xfId="3" applyFont="1" applyFill="1" applyBorder="1" applyAlignment="1" applyProtection="1">
      <alignment horizontal="center"/>
    </xf>
    <xf numFmtId="0" fontId="13" fillId="0" borderId="0" xfId="0" applyFont="1" applyBorder="1" applyAlignment="1" applyProtection="1">
      <alignment horizontal="left" vertical="center" wrapText="1"/>
    </xf>
    <xf numFmtId="164" fontId="13" fillId="24" borderId="134" xfId="1" applyFont="1" applyFill="1" applyBorder="1" applyAlignment="1" applyProtection="1">
      <alignment horizontal="center" vertical="center" wrapText="1"/>
      <protection locked="0"/>
    </xf>
    <xf numFmtId="0" fontId="121" fillId="0" borderId="0" xfId="0" applyFont="1"/>
    <xf numFmtId="0" fontId="14" fillId="5" borderId="3" xfId="3" applyFont="1" applyFill="1" applyBorder="1" applyAlignment="1" applyProtection="1">
      <alignment horizontal="center" wrapText="1"/>
    </xf>
    <xf numFmtId="0" fontId="13" fillId="5" borderId="3" xfId="3" applyFont="1" applyFill="1" applyBorder="1" applyAlignment="1" applyProtection="1">
      <alignment horizontal="center" wrapText="1"/>
    </xf>
    <xf numFmtId="9" fontId="13" fillId="5" borderId="3" xfId="3" applyNumberFormat="1" applyFont="1" applyFill="1" applyBorder="1" applyAlignment="1" applyProtection="1">
      <alignment horizontal="center" wrapText="1"/>
    </xf>
    <xf numFmtId="10" fontId="13" fillId="5" borderId="3" xfId="3" applyNumberFormat="1" applyFont="1" applyFill="1" applyBorder="1" applyAlignment="1" applyProtection="1">
      <alignment horizontal="center" wrapText="1"/>
    </xf>
    <xf numFmtId="0" fontId="13" fillId="5" borderId="3" xfId="3" applyFont="1" applyFill="1" applyBorder="1" applyAlignment="1" applyProtection="1">
      <alignment horizontal="center"/>
    </xf>
    <xf numFmtId="2" fontId="13" fillId="5" borderId="3" xfId="3" applyNumberFormat="1" applyFont="1" applyFill="1" applyBorder="1" applyAlignment="1" applyProtection="1">
      <alignment horizontal="center"/>
    </xf>
    <xf numFmtId="0" fontId="11" fillId="0" borderId="3" xfId="0" applyFont="1" applyFill="1" applyBorder="1" applyAlignment="1" applyProtection="1">
      <alignment horizontal="right" vertical="center" wrapText="1"/>
    </xf>
    <xf numFmtId="0" fontId="10" fillId="30" borderId="3" xfId="0" applyFont="1" applyFill="1" applyBorder="1" applyAlignment="1" applyProtection="1">
      <alignment horizontal="left" vertical="center" wrapText="1"/>
      <protection locked="0"/>
    </xf>
    <xf numFmtId="0" fontId="24" fillId="12" borderId="105" xfId="0" applyFont="1" applyFill="1" applyBorder="1" applyAlignment="1" applyProtection="1">
      <alignment horizontal="center" vertical="center" wrapText="1"/>
    </xf>
    <xf numFmtId="0" fontId="24" fillId="12" borderId="18" xfId="0" applyFont="1" applyFill="1" applyBorder="1" applyAlignment="1" applyProtection="1">
      <alignment horizontal="center" vertical="center" wrapText="1"/>
    </xf>
    <xf numFmtId="0" fontId="24" fillId="12" borderId="120" xfId="0" applyFont="1" applyFill="1" applyBorder="1" applyAlignment="1" applyProtection="1">
      <alignment horizontal="center" vertical="center" wrapText="1"/>
    </xf>
    <xf numFmtId="0" fontId="24" fillId="12" borderId="118" xfId="0" applyFont="1" applyFill="1" applyBorder="1" applyAlignment="1" applyProtection="1">
      <alignment horizontal="center" vertical="center" wrapText="1"/>
    </xf>
    <xf numFmtId="0" fontId="24" fillId="12" borderId="119" xfId="0" applyFont="1" applyFill="1" applyBorder="1" applyAlignment="1" applyProtection="1">
      <alignment horizontal="center" vertical="center" wrapText="1"/>
    </xf>
    <xf numFmtId="0" fontId="24" fillId="12" borderId="117" xfId="0" applyFont="1" applyFill="1" applyBorder="1" applyAlignment="1" applyProtection="1">
      <alignment horizontal="center" vertical="center" wrapText="1"/>
    </xf>
    <xf numFmtId="0" fontId="24" fillId="12" borderId="17" xfId="0" applyFont="1" applyFill="1" applyBorder="1" applyAlignment="1" applyProtection="1">
      <alignment horizontal="center" vertical="center" wrapText="1"/>
    </xf>
    <xf numFmtId="0" fontId="24" fillId="12" borderId="14" xfId="0" applyFont="1" applyFill="1" applyBorder="1" applyAlignment="1" applyProtection="1">
      <alignment horizontal="center" vertical="center" wrapText="1"/>
    </xf>
    <xf numFmtId="0" fontId="13" fillId="16" borderId="1" xfId="0" applyFont="1" applyFill="1" applyBorder="1" applyAlignment="1" applyProtection="1">
      <alignment horizontal="center" vertical="center" wrapText="1"/>
    </xf>
    <xf numFmtId="0" fontId="13" fillId="16" borderId="7" xfId="0" applyFont="1" applyFill="1" applyBorder="1" applyAlignment="1" applyProtection="1">
      <alignment horizontal="center" vertical="center"/>
    </xf>
    <xf numFmtId="0" fontId="13" fillId="16" borderId="4" xfId="0" applyFont="1" applyFill="1" applyBorder="1" applyAlignment="1" applyProtection="1">
      <alignment horizontal="center" vertical="center"/>
    </xf>
    <xf numFmtId="0" fontId="13" fillId="16" borderId="18" xfId="0" applyFont="1" applyFill="1" applyBorder="1" applyAlignment="1" applyProtection="1">
      <alignment horizontal="center" vertical="center"/>
    </xf>
    <xf numFmtId="0" fontId="13" fillId="16" borderId="2" xfId="0" applyFont="1" applyFill="1" applyBorder="1" applyAlignment="1" applyProtection="1">
      <alignment horizontal="center" vertical="center"/>
    </xf>
    <xf numFmtId="0" fontId="28" fillId="9" borderId="7" xfId="0" applyFont="1" applyFill="1" applyBorder="1" applyAlignment="1" applyProtection="1">
      <alignment horizontal="center"/>
    </xf>
    <xf numFmtId="0" fontId="28" fillId="9" borderId="5" xfId="0" applyFont="1" applyFill="1" applyBorder="1" applyAlignment="1" applyProtection="1">
      <alignment horizontal="center"/>
    </xf>
    <xf numFmtId="0" fontId="31" fillId="11" borderId="0" xfId="0" applyFont="1" applyFill="1" applyBorder="1" applyAlignment="1" applyProtection="1">
      <alignment horizontal="left" vertical="center" wrapText="1"/>
    </xf>
    <xf numFmtId="4" fontId="31" fillId="0" borderId="0" xfId="0" applyNumberFormat="1" applyFont="1" applyFill="1" applyBorder="1" applyAlignment="1" applyProtection="1">
      <alignment horizontal="left" vertical="center"/>
    </xf>
    <xf numFmtId="4" fontId="114" fillId="0" borderId="0" xfId="0" applyNumberFormat="1" applyFont="1" applyFill="1" applyBorder="1" applyAlignment="1" applyProtection="1">
      <alignment horizontal="left" vertical="center" wrapText="1"/>
    </xf>
    <xf numFmtId="164" fontId="69" fillId="0" borderId="73" xfId="1" applyFont="1" applyBorder="1" applyAlignment="1" applyProtection="1">
      <alignment horizontal="center" vertical="center"/>
    </xf>
    <xf numFmtId="164" fontId="69" fillId="0" borderId="72" xfId="1" applyFont="1" applyBorder="1" applyAlignment="1" applyProtection="1">
      <alignment horizontal="center" vertical="center"/>
    </xf>
    <xf numFmtId="0" fontId="14" fillId="18" borderId="0" xfId="0" applyFont="1" applyFill="1" applyBorder="1" applyAlignment="1" applyProtection="1">
      <alignment horizontal="left" vertical="center" wrapText="1"/>
    </xf>
    <xf numFmtId="0" fontId="69" fillId="0" borderId="71" xfId="0" applyFont="1" applyBorder="1" applyAlignment="1" applyProtection="1">
      <alignment horizontal="center" vertical="center"/>
    </xf>
    <xf numFmtId="0" fontId="69" fillId="0" borderId="73" xfId="0" applyFont="1" applyBorder="1" applyAlignment="1" applyProtection="1">
      <alignment horizontal="center" vertical="center"/>
    </xf>
    <xf numFmtId="0" fontId="69" fillId="0" borderId="72" xfId="0" applyFont="1" applyBorder="1" applyAlignment="1" applyProtection="1">
      <alignment horizontal="center" vertical="center"/>
    </xf>
    <xf numFmtId="0" fontId="67" fillId="0" borderId="0" xfId="0" applyFont="1" applyAlignment="1" applyProtection="1">
      <alignment horizontal="right" vertical="center"/>
    </xf>
    <xf numFmtId="0" fontId="67" fillId="0" borderId="123" xfId="0" applyFont="1" applyBorder="1" applyAlignment="1" applyProtection="1">
      <alignment horizontal="right" vertical="center"/>
    </xf>
    <xf numFmtId="0" fontId="66" fillId="11" borderId="27" xfId="0" applyFont="1" applyFill="1" applyBorder="1" applyAlignment="1" applyProtection="1">
      <alignment horizontal="left" wrapText="1"/>
    </xf>
    <xf numFmtId="4" fontId="46" fillId="19" borderId="1" xfId="0" applyNumberFormat="1" applyFont="1" applyFill="1" applyBorder="1" applyAlignment="1" applyProtection="1">
      <alignment horizontal="center"/>
    </xf>
    <xf numFmtId="4" fontId="46" fillId="19" borderId="7" xfId="0" applyNumberFormat="1" applyFont="1" applyFill="1" applyBorder="1" applyAlignment="1" applyProtection="1">
      <alignment horizontal="center"/>
    </xf>
    <xf numFmtId="4" fontId="46" fillId="19" borderId="5" xfId="0" applyNumberFormat="1" applyFont="1" applyFill="1" applyBorder="1" applyAlignment="1" applyProtection="1">
      <alignment horizontal="center"/>
    </xf>
    <xf numFmtId="0" fontId="11" fillId="0" borderId="0" xfId="0" applyFont="1" applyAlignment="1" applyProtection="1">
      <alignment horizontal="center"/>
    </xf>
    <xf numFmtId="0" fontId="13" fillId="0" borderId="0" xfId="0" applyFont="1" applyAlignment="1" applyProtection="1"/>
    <xf numFmtId="164" fontId="67" fillId="0" borderId="71" xfId="1" applyFont="1" applyBorder="1" applyAlignment="1" applyProtection="1">
      <alignment horizontal="center" vertical="center"/>
    </xf>
    <xf numFmtId="164" fontId="67" fillId="0" borderId="72" xfId="1" applyFont="1" applyBorder="1" applyAlignment="1" applyProtection="1">
      <alignment horizontal="center" vertical="center"/>
    </xf>
    <xf numFmtId="164" fontId="67" fillId="0" borderId="68" xfId="1" applyFont="1" applyBorder="1" applyAlignment="1" applyProtection="1">
      <alignment horizontal="center" vertical="center"/>
    </xf>
    <xf numFmtId="164" fontId="67" fillId="0" borderId="69" xfId="1" applyFont="1" applyBorder="1" applyAlignment="1" applyProtection="1">
      <alignment horizontal="center" vertical="center"/>
    </xf>
    <xf numFmtId="164" fontId="69" fillId="0" borderId="70" xfId="1" applyFont="1" applyBorder="1" applyAlignment="1" applyProtection="1">
      <alignment horizontal="center" vertical="center"/>
    </xf>
    <xf numFmtId="4" fontId="67" fillId="13" borderId="71" xfId="0" applyNumberFormat="1" applyFont="1" applyFill="1" applyBorder="1" applyAlignment="1" applyProtection="1">
      <alignment horizontal="center" vertical="center" wrapText="1"/>
    </xf>
    <xf numFmtId="4" fontId="67" fillId="13" borderId="73" xfId="0" applyNumberFormat="1" applyFont="1" applyFill="1" applyBorder="1" applyAlignment="1" applyProtection="1">
      <alignment horizontal="center" vertical="center" wrapText="1"/>
    </xf>
    <xf numFmtId="4" fontId="67" fillId="13" borderId="72" xfId="0" applyNumberFormat="1" applyFont="1" applyFill="1" applyBorder="1" applyAlignment="1" applyProtection="1">
      <alignment horizontal="center" vertical="center" wrapText="1"/>
    </xf>
    <xf numFmtId="0" fontId="24" fillId="12" borderId="77" xfId="0" applyFont="1" applyFill="1" applyBorder="1" applyAlignment="1" applyProtection="1">
      <alignment horizontal="center" vertical="center" wrapText="1"/>
    </xf>
    <xf numFmtId="0" fontId="24" fillId="12" borderId="78" xfId="0" applyFont="1" applyFill="1" applyBorder="1" applyAlignment="1" applyProtection="1">
      <alignment horizontal="center" vertical="center" wrapText="1"/>
    </xf>
    <xf numFmtId="0" fontId="24" fillId="12" borderId="79" xfId="0" applyFont="1" applyFill="1" applyBorder="1" applyAlignment="1" applyProtection="1">
      <alignment horizontal="center" vertical="center" wrapText="1"/>
    </xf>
    <xf numFmtId="0" fontId="24" fillId="12" borderId="80" xfId="0" applyFont="1" applyFill="1" applyBorder="1" applyAlignment="1" applyProtection="1">
      <alignment horizontal="center" vertical="center" wrapText="1"/>
    </xf>
    <xf numFmtId="0" fontId="20" fillId="12" borderId="43" xfId="0" applyFont="1" applyFill="1" applyBorder="1" applyAlignment="1" applyProtection="1">
      <alignment horizontal="center" vertical="center" wrapText="1"/>
    </xf>
    <xf numFmtId="0" fontId="20" fillId="12" borderId="40" xfId="0" applyFont="1" applyFill="1" applyBorder="1" applyAlignment="1" applyProtection="1">
      <alignment horizontal="center" vertical="center" wrapText="1"/>
    </xf>
    <xf numFmtId="0" fontId="20" fillId="12" borderId="45" xfId="0" applyFont="1" applyFill="1" applyBorder="1" applyAlignment="1" applyProtection="1">
      <alignment horizontal="center" vertical="center" wrapText="1"/>
    </xf>
    <xf numFmtId="0" fontId="20" fillId="12" borderId="46" xfId="0" applyFont="1" applyFill="1" applyBorder="1" applyAlignment="1" applyProtection="1">
      <alignment horizontal="center" vertical="center" wrapText="1"/>
    </xf>
    <xf numFmtId="0" fontId="20" fillId="12" borderId="51" xfId="0" applyFont="1" applyFill="1" applyBorder="1" applyAlignment="1" applyProtection="1">
      <alignment horizontal="center" vertical="center" wrapText="1"/>
    </xf>
    <xf numFmtId="0" fontId="20" fillId="12" borderId="39" xfId="0" applyFont="1" applyFill="1" applyBorder="1" applyAlignment="1" applyProtection="1">
      <alignment horizontal="center" vertical="center" wrapText="1"/>
    </xf>
    <xf numFmtId="0" fontId="13" fillId="24" borderId="3" xfId="0" applyFont="1" applyFill="1" applyBorder="1" applyAlignment="1" applyProtection="1">
      <alignment horizontal="center" vertical="center" wrapText="1"/>
      <protection locked="0"/>
    </xf>
    <xf numFmtId="0" fontId="13" fillId="24" borderId="82" xfId="0" applyFont="1" applyFill="1" applyBorder="1" applyAlignment="1" applyProtection="1">
      <alignment horizontal="center" vertical="center" wrapText="1"/>
      <protection locked="0"/>
    </xf>
    <xf numFmtId="0" fontId="24" fillId="12" borderId="110" xfId="0" applyFont="1" applyFill="1" applyBorder="1" applyAlignment="1" applyProtection="1">
      <alignment horizontal="center" vertical="center" wrapText="1"/>
    </xf>
    <xf numFmtId="0" fontId="24" fillId="12" borderId="106" xfId="0" applyFont="1" applyFill="1" applyBorder="1" applyAlignment="1" applyProtection="1">
      <alignment horizontal="center" vertical="center" wrapText="1"/>
    </xf>
    <xf numFmtId="0" fontId="117" fillId="15" borderId="0" xfId="0" applyFont="1" applyFill="1" applyBorder="1" applyAlignment="1" applyProtection="1">
      <alignment horizontal="center" vertical="center" wrapText="1"/>
    </xf>
    <xf numFmtId="0" fontId="118" fillId="15" borderId="0" xfId="0" applyFont="1" applyFill="1" applyBorder="1" applyAlignment="1" applyProtection="1">
      <alignment horizontal="center" vertical="center" wrapText="1"/>
    </xf>
    <xf numFmtId="0" fontId="118" fillId="0" borderId="0" xfId="0" applyFont="1" applyFill="1" applyBorder="1" applyAlignment="1" applyProtection="1">
      <alignment horizontal="center" vertical="center" wrapText="1"/>
    </xf>
    <xf numFmtId="0" fontId="47" fillId="0" borderId="0" xfId="0" applyFont="1" applyFill="1" applyBorder="1" applyAlignment="1" applyProtection="1">
      <alignment horizontal="center" vertical="center" wrapText="1"/>
    </xf>
    <xf numFmtId="0" fontId="10" fillId="30" borderId="16" xfId="0" applyFont="1" applyFill="1" applyBorder="1" applyAlignment="1" applyProtection="1">
      <alignment horizontal="center" vertical="center" wrapText="1"/>
      <protection locked="0"/>
    </xf>
    <xf numFmtId="0" fontId="10" fillId="30" borderId="20" xfId="0" applyFont="1" applyFill="1" applyBorder="1" applyAlignment="1" applyProtection="1">
      <alignment horizontal="center" vertical="center" wrapText="1"/>
      <protection locked="0"/>
    </xf>
    <xf numFmtId="0" fontId="10" fillId="30" borderId="23" xfId="0" applyFont="1" applyFill="1" applyBorder="1" applyAlignment="1" applyProtection="1">
      <alignment horizontal="center" vertical="center" wrapText="1"/>
      <protection locked="0"/>
    </xf>
    <xf numFmtId="0" fontId="10" fillId="30" borderId="14" xfId="0" applyFont="1" applyFill="1" applyBorder="1" applyAlignment="1" applyProtection="1">
      <alignment horizontal="center" vertical="center" wrapText="1"/>
      <protection locked="0"/>
    </xf>
    <xf numFmtId="0" fontId="10" fillId="30" borderId="15" xfId="0" applyFont="1" applyFill="1" applyBorder="1" applyAlignment="1" applyProtection="1">
      <alignment horizontal="center" vertical="center" wrapText="1"/>
      <protection locked="0"/>
    </xf>
    <xf numFmtId="0" fontId="10" fillId="30" borderId="6" xfId="0" applyFont="1" applyFill="1" applyBorder="1" applyAlignment="1" applyProtection="1">
      <alignment horizontal="center" vertical="center" wrapText="1"/>
      <protection locked="0"/>
    </xf>
    <xf numFmtId="0" fontId="24" fillId="12" borderId="114" xfId="0" applyFont="1" applyFill="1" applyBorder="1" applyAlignment="1" applyProtection="1">
      <alignment horizontal="center" vertical="center" wrapText="1"/>
    </xf>
    <xf numFmtId="0" fontId="13" fillId="16" borderId="115" xfId="0" applyFont="1" applyFill="1" applyBorder="1" applyProtection="1"/>
    <xf numFmtId="0" fontId="13" fillId="16" borderId="116" xfId="0" applyFont="1" applyFill="1" applyBorder="1" applyProtection="1"/>
    <xf numFmtId="0" fontId="13" fillId="16" borderId="18" xfId="0" applyFont="1" applyFill="1" applyBorder="1" applyProtection="1"/>
    <xf numFmtId="0" fontId="13" fillId="16" borderId="120" xfId="0" applyFont="1" applyFill="1" applyBorder="1" applyProtection="1"/>
    <xf numFmtId="0" fontId="112" fillId="11" borderId="27" xfId="0" applyFont="1" applyFill="1" applyBorder="1" applyAlignment="1" applyProtection="1">
      <alignment horizontal="left" wrapText="1"/>
    </xf>
    <xf numFmtId="0" fontId="12" fillId="36" borderId="1" xfId="0" applyFont="1" applyFill="1" applyBorder="1" applyAlignment="1" applyProtection="1">
      <alignment horizontal="center" vertical="center" wrapText="1"/>
    </xf>
    <xf numFmtId="0" fontId="12" fillId="36" borderId="5" xfId="0" applyFont="1" applyFill="1" applyBorder="1" applyAlignment="1" applyProtection="1">
      <alignment horizontal="center" vertical="center" wrapText="1"/>
    </xf>
    <xf numFmtId="0" fontId="61" fillId="23" borderId="88" xfId="0" applyFont="1" applyFill="1" applyBorder="1" applyAlignment="1" applyProtection="1">
      <alignment horizontal="center" vertical="center"/>
      <protection locked="0"/>
    </xf>
    <xf numFmtId="0" fontId="61" fillId="23" borderId="3" xfId="0" applyFont="1" applyFill="1" applyBorder="1" applyAlignment="1" applyProtection="1">
      <alignment horizontal="center" vertical="center"/>
      <protection locked="0"/>
    </xf>
    <xf numFmtId="0" fontId="61" fillId="23" borderId="1" xfId="0" applyFont="1" applyFill="1" applyBorder="1" applyAlignment="1" applyProtection="1">
      <alignment horizontal="center" vertical="center"/>
      <protection locked="0"/>
    </xf>
    <xf numFmtId="0" fontId="61" fillId="23" borderId="89" xfId="0" applyFont="1" applyFill="1" applyBorder="1" applyAlignment="1" applyProtection="1">
      <alignment horizontal="center" vertical="center"/>
      <protection locked="0"/>
    </xf>
    <xf numFmtId="0" fontId="61" fillId="23" borderId="107" xfId="0" applyFont="1" applyFill="1" applyBorder="1" applyAlignment="1" applyProtection="1">
      <alignment horizontal="center" vertical="center"/>
      <protection locked="0"/>
    </xf>
    <xf numFmtId="0" fontId="61" fillId="23" borderId="108" xfId="0" applyFont="1" applyFill="1" applyBorder="1" applyAlignment="1" applyProtection="1">
      <alignment horizontal="center" vertical="center"/>
      <protection locked="0"/>
    </xf>
    <xf numFmtId="0" fontId="61" fillId="23" borderId="109" xfId="0" applyFont="1" applyFill="1" applyBorder="1" applyAlignment="1" applyProtection="1">
      <alignment horizontal="center" vertical="center"/>
      <protection locked="0"/>
    </xf>
    <xf numFmtId="0" fontId="13" fillId="16" borderId="23" xfId="0" applyFont="1" applyFill="1" applyBorder="1" applyAlignment="1" applyProtection="1">
      <alignment horizontal="center" vertical="center"/>
    </xf>
    <xf numFmtId="0" fontId="13" fillId="16" borderId="26" xfId="0" applyFont="1" applyFill="1" applyBorder="1" applyAlignment="1" applyProtection="1">
      <alignment horizontal="center" vertical="center"/>
    </xf>
    <xf numFmtId="0" fontId="13" fillId="16" borderId="6" xfId="0" applyFont="1" applyFill="1" applyBorder="1" applyAlignment="1" applyProtection="1">
      <alignment horizontal="center" vertical="center"/>
    </xf>
    <xf numFmtId="0" fontId="72" fillId="11" borderId="0" xfId="0" applyFont="1" applyFill="1" applyBorder="1" applyAlignment="1" applyProtection="1">
      <alignment horizontal="left" wrapText="1"/>
    </xf>
    <xf numFmtId="0" fontId="24" fillId="12" borderId="103" xfId="0" applyFont="1" applyFill="1" applyBorder="1" applyAlignment="1" applyProtection="1">
      <alignment horizontal="center" vertical="center"/>
    </xf>
    <xf numFmtId="0" fontId="14" fillId="16" borderId="50" xfId="0" applyFont="1" applyFill="1" applyBorder="1" applyProtection="1"/>
    <xf numFmtId="0" fontId="14" fillId="16" borderId="44" xfId="0" applyFont="1" applyFill="1" applyBorder="1" applyProtection="1"/>
    <xf numFmtId="0" fontId="24" fillId="12" borderId="104" xfId="0" applyFont="1" applyFill="1" applyBorder="1" applyAlignment="1" applyProtection="1">
      <alignment horizontal="center" vertical="center" wrapText="1"/>
    </xf>
    <xf numFmtId="0" fontId="24" fillId="12" borderId="51" xfId="0" applyFont="1" applyFill="1" applyBorder="1" applyAlignment="1" applyProtection="1">
      <alignment horizontal="center" vertical="center" wrapText="1"/>
    </xf>
    <xf numFmtId="0" fontId="24" fillId="12" borderId="39" xfId="0" applyFont="1" applyFill="1" applyBorder="1" applyAlignment="1" applyProtection="1">
      <alignment horizontal="center" vertical="center" wrapText="1"/>
    </xf>
    <xf numFmtId="0" fontId="24" fillId="12" borderId="103" xfId="0" applyFont="1" applyFill="1" applyBorder="1" applyAlignment="1" applyProtection="1">
      <alignment horizontal="center" vertical="center" wrapText="1"/>
    </xf>
    <xf numFmtId="0" fontId="24" fillId="12" borderId="50" xfId="0" applyFont="1" applyFill="1" applyBorder="1" applyAlignment="1" applyProtection="1">
      <alignment horizontal="center" vertical="center" wrapText="1"/>
    </xf>
    <xf numFmtId="0" fontId="24" fillId="12" borderId="74" xfId="0" applyFont="1" applyFill="1" applyBorder="1" applyAlignment="1" applyProtection="1">
      <alignment horizontal="center" vertical="center" wrapText="1"/>
    </xf>
    <xf numFmtId="0" fontId="24" fillId="12" borderId="2" xfId="0" applyFont="1" applyFill="1" applyBorder="1" applyAlignment="1" applyProtection="1">
      <alignment horizontal="center" vertical="center" wrapText="1"/>
    </xf>
    <xf numFmtId="0" fontId="13" fillId="16" borderId="50" xfId="0" applyFont="1" applyFill="1" applyBorder="1" applyProtection="1"/>
    <xf numFmtId="0" fontId="13" fillId="16" borderId="44" xfId="0" applyFont="1" applyFill="1" applyBorder="1" applyProtection="1"/>
    <xf numFmtId="0" fontId="66" fillId="11" borderId="54" xfId="0" applyFont="1" applyFill="1" applyBorder="1" applyAlignment="1" applyProtection="1">
      <alignment horizontal="left" wrapText="1"/>
    </xf>
    <xf numFmtId="44" fontId="13" fillId="0" borderId="1" xfId="0" applyNumberFormat="1" applyFont="1" applyBorder="1" applyAlignment="1" applyProtection="1">
      <alignment horizontal="center" vertical="center"/>
    </xf>
    <xf numFmtId="44" fontId="13" fillId="0" borderId="5" xfId="0" applyNumberFormat="1" applyFont="1" applyBorder="1" applyAlignment="1" applyProtection="1">
      <alignment horizontal="center" vertical="center"/>
    </xf>
    <xf numFmtId="44" fontId="14" fillId="0" borderId="9" xfId="0" applyNumberFormat="1" applyFont="1" applyBorder="1" applyAlignment="1" applyProtection="1">
      <alignment horizontal="center" vertical="center"/>
    </xf>
    <xf numFmtId="44" fontId="14" fillId="0" borderId="13" xfId="0" applyNumberFormat="1" applyFont="1" applyBorder="1" applyAlignment="1" applyProtection="1">
      <alignment horizontal="center" vertical="center"/>
    </xf>
    <xf numFmtId="0" fontId="73" fillId="0" borderId="20" xfId="0" applyFont="1" applyFill="1" applyBorder="1" applyAlignment="1" applyProtection="1">
      <alignment horizontal="center"/>
    </xf>
    <xf numFmtId="0" fontId="100" fillId="11" borderId="121" xfId="0" applyFont="1" applyFill="1" applyBorder="1" applyAlignment="1" applyProtection="1">
      <alignment horizontal="left" wrapText="1"/>
    </xf>
    <xf numFmtId="4" fontId="31" fillId="46" borderId="14" xfId="0" applyNumberFormat="1" applyFont="1" applyFill="1" applyBorder="1" applyAlignment="1" applyProtection="1">
      <alignment horizontal="center" vertical="center" wrapText="1"/>
    </xf>
    <xf numFmtId="4" fontId="31" fillId="46" borderId="6" xfId="0" applyNumberFormat="1" applyFont="1" applyFill="1" applyBorder="1" applyAlignment="1" applyProtection="1">
      <alignment horizontal="center" vertical="center" wrapText="1"/>
    </xf>
    <xf numFmtId="0" fontId="71" fillId="11" borderId="75" xfId="0" applyFont="1" applyFill="1" applyBorder="1" applyAlignment="1" applyProtection="1">
      <alignment horizontal="left" wrapText="1"/>
    </xf>
    <xf numFmtId="4" fontId="31" fillId="47" borderId="14" xfId="0" applyNumberFormat="1" applyFont="1" applyFill="1" applyBorder="1" applyAlignment="1" applyProtection="1">
      <alignment horizontal="center" vertical="center" wrapText="1"/>
    </xf>
    <xf numFmtId="4" fontId="31" fillId="47" borderId="6" xfId="0" applyNumberFormat="1" applyFont="1" applyFill="1" applyBorder="1" applyAlignment="1" applyProtection="1">
      <alignment horizontal="center" vertical="center" wrapText="1"/>
    </xf>
    <xf numFmtId="0" fontId="10" fillId="45" borderId="14" xfId="0" applyFont="1" applyFill="1" applyBorder="1" applyAlignment="1" applyProtection="1">
      <alignment horizontal="center" vertical="center" wrapText="1"/>
    </xf>
    <xf numFmtId="0" fontId="10" fillId="45" borderId="15" xfId="0" applyFont="1" applyFill="1" applyBorder="1" applyAlignment="1" applyProtection="1">
      <alignment horizontal="center" vertical="center" wrapText="1"/>
    </xf>
    <xf numFmtId="0" fontId="10" fillId="45" borderId="6" xfId="0" applyFont="1" applyFill="1" applyBorder="1" applyAlignment="1" applyProtection="1">
      <alignment horizontal="center" vertical="center" wrapText="1"/>
    </xf>
    <xf numFmtId="0" fontId="79" fillId="15" borderId="0" xfId="0" applyFont="1" applyFill="1" applyBorder="1" applyAlignment="1" applyProtection="1">
      <alignment horizontal="center" vertical="center" wrapText="1"/>
    </xf>
    <xf numFmtId="0" fontId="80" fillId="15" borderId="0" xfId="0" applyFont="1" applyFill="1" applyBorder="1" applyAlignment="1" applyProtection="1">
      <alignment horizontal="center" vertical="center" wrapText="1"/>
    </xf>
    <xf numFmtId="0" fontId="80" fillId="0" borderId="0" xfId="0" applyFont="1" applyFill="1" applyBorder="1" applyAlignment="1" applyProtection="1">
      <alignment horizontal="center" vertical="center" wrapText="1"/>
    </xf>
    <xf numFmtId="0" fontId="10" fillId="45" borderId="16" xfId="0" applyFont="1" applyFill="1" applyBorder="1" applyAlignment="1" applyProtection="1">
      <alignment horizontal="center" vertical="center" wrapText="1"/>
    </xf>
    <xf numFmtId="0" fontId="10" fillId="45" borderId="20" xfId="0" applyFont="1" applyFill="1" applyBorder="1" applyAlignment="1" applyProtection="1">
      <alignment horizontal="center" vertical="center" wrapText="1"/>
    </xf>
    <xf numFmtId="0" fontId="10" fillId="45" borderId="23" xfId="0" applyFont="1" applyFill="1" applyBorder="1" applyAlignment="1" applyProtection="1">
      <alignment horizontal="center" vertical="center" wrapText="1"/>
    </xf>
    <xf numFmtId="0" fontId="46" fillId="15" borderId="0" xfId="0" applyFont="1" applyFill="1" applyBorder="1" applyAlignment="1" applyProtection="1">
      <alignment horizontal="right" vertical="center" wrapText="1"/>
    </xf>
    <xf numFmtId="0" fontId="46" fillId="15" borderId="40" xfId="0" applyFont="1" applyFill="1" applyBorder="1" applyAlignment="1" applyProtection="1">
      <alignment horizontal="right" vertical="center" wrapText="1"/>
    </xf>
    <xf numFmtId="0" fontId="14" fillId="22" borderId="3" xfId="3" applyFont="1" applyFill="1" applyBorder="1" applyAlignment="1" applyProtection="1">
      <alignment horizontal="center" vertical="center"/>
    </xf>
    <xf numFmtId="0" fontId="14" fillId="20" borderId="24" xfId="3" applyFont="1" applyFill="1" applyBorder="1" applyAlignment="1" applyProtection="1">
      <alignment horizontal="center" vertical="center" wrapText="1"/>
    </xf>
    <xf numFmtId="0" fontId="14" fillId="20" borderId="28" xfId="3" applyFont="1" applyFill="1" applyBorder="1" applyAlignment="1" applyProtection="1">
      <alignment horizontal="center" vertical="center" wrapText="1"/>
    </xf>
    <xf numFmtId="0" fontId="14" fillId="20" borderId="19" xfId="3" applyFont="1" applyFill="1" applyBorder="1" applyAlignment="1" applyProtection="1">
      <alignment horizontal="center" vertical="center" wrapText="1"/>
    </xf>
    <xf numFmtId="0" fontId="14" fillId="20" borderId="25" xfId="3" applyFont="1" applyFill="1" applyBorder="1" applyAlignment="1" applyProtection="1">
      <alignment horizontal="center" vertical="center" wrapText="1"/>
    </xf>
    <xf numFmtId="0" fontId="15" fillId="18" borderId="57" xfId="5" applyFont="1" applyFill="1" applyBorder="1" applyAlignment="1" applyProtection="1">
      <alignment horizontal="left" vertical="center" wrapText="1"/>
    </xf>
    <xf numFmtId="0" fontId="30" fillId="18" borderId="20" xfId="3" applyFont="1" applyFill="1" applyBorder="1" applyAlignment="1" applyProtection="1">
      <alignment horizontal="right" vertical="center" wrapText="1"/>
    </xf>
    <xf numFmtId="0" fontId="30" fillId="18" borderId="32" xfId="3" applyFont="1" applyFill="1" applyBorder="1" applyAlignment="1" applyProtection="1">
      <alignment horizontal="right" vertical="center" wrapText="1"/>
    </xf>
    <xf numFmtId="0" fontId="15" fillId="18" borderId="58" xfId="5" applyFont="1" applyFill="1" applyBorder="1" applyAlignment="1" applyProtection="1">
      <alignment horizontal="left" vertical="center" wrapText="1"/>
    </xf>
    <xf numFmtId="0" fontId="15" fillId="18" borderId="59" xfId="5" applyFont="1" applyFill="1" applyBorder="1" applyAlignment="1" applyProtection="1">
      <alignment horizontal="left" vertical="center" wrapText="1"/>
    </xf>
    <xf numFmtId="0" fontId="30" fillId="18" borderId="0" xfId="3" applyFont="1" applyFill="1" applyBorder="1" applyAlignment="1" applyProtection="1">
      <alignment horizontal="right" vertical="center" wrapText="1"/>
    </xf>
    <xf numFmtId="0" fontId="30" fillId="18" borderId="33" xfId="3" applyFont="1" applyFill="1" applyBorder="1" applyAlignment="1" applyProtection="1">
      <alignment horizontal="right" vertical="center" wrapText="1"/>
    </xf>
    <xf numFmtId="0" fontId="23" fillId="18" borderId="20" xfId="3" applyFont="1" applyFill="1" applyBorder="1" applyAlignment="1" applyProtection="1">
      <alignment horizontal="right" vertical="center" wrapText="1"/>
    </xf>
    <xf numFmtId="0" fontId="23" fillId="18" borderId="32" xfId="3" applyFont="1" applyFill="1" applyBorder="1" applyAlignment="1" applyProtection="1">
      <alignment horizontal="right" vertical="center" wrapText="1"/>
    </xf>
    <xf numFmtId="0" fontId="20" fillId="0" borderId="56" xfId="0" applyFont="1" applyFill="1" applyBorder="1" applyAlignment="1" applyProtection="1">
      <alignment horizontal="left" vertical="center" wrapText="1"/>
    </xf>
    <xf numFmtId="0" fontId="20" fillId="0" borderId="20" xfId="0" applyFont="1" applyFill="1" applyBorder="1" applyAlignment="1" applyProtection="1">
      <alignment horizontal="left" vertical="center" wrapText="1"/>
    </xf>
    <xf numFmtId="0" fontId="20" fillId="0" borderId="23" xfId="0" applyFont="1" applyFill="1" applyBorder="1" applyAlignment="1" applyProtection="1">
      <alignment horizontal="left" vertical="center" wrapText="1"/>
    </xf>
    <xf numFmtId="0" fontId="20" fillId="0" borderId="3" xfId="0" applyFont="1" applyFill="1" applyBorder="1" applyAlignment="1" applyProtection="1">
      <alignment horizontal="left" vertical="center" wrapText="1"/>
    </xf>
    <xf numFmtId="0" fontId="29" fillId="15" borderId="42" xfId="0" applyFont="1" applyFill="1" applyBorder="1" applyAlignment="1" applyProtection="1">
      <alignment horizontal="right" vertical="center" wrapText="1"/>
    </xf>
    <xf numFmtId="0" fontId="19" fillId="18" borderId="53" xfId="4" applyFont="1" applyFill="1" applyBorder="1" applyAlignment="1" applyProtection="1">
      <alignment horizontal="left"/>
    </xf>
    <xf numFmtId="0" fontId="13" fillId="0" borderId="1" xfId="0" applyFont="1" applyFill="1" applyBorder="1" applyAlignment="1" applyProtection="1">
      <alignment vertical="center"/>
    </xf>
    <xf numFmtId="0" fontId="13" fillId="0" borderId="7" xfId="0" applyFont="1" applyFill="1" applyBorder="1" applyAlignment="1" applyProtection="1">
      <alignment vertical="center"/>
    </xf>
    <xf numFmtId="0" fontId="13" fillId="0" borderId="5" xfId="0" applyFont="1" applyFill="1" applyBorder="1" applyAlignment="1" applyProtection="1">
      <alignment vertical="center"/>
    </xf>
    <xf numFmtId="0" fontId="20" fillId="0" borderId="61" xfId="0" applyFont="1" applyFill="1" applyBorder="1" applyAlignment="1" applyProtection="1">
      <alignment vertical="center" wrapText="1"/>
    </xf>
    <xf numFmtId="0" fontId="20" fillId="0" borderId="7" xfId="0" applyFont="1" applyFill="1" applyBorder="1" applyAlignment="1" applyProtection="1">
      <alignment vertical="center" wrapText="1"/>
    </xf>
    <xf numFmtId="0" fontId="20" fillId="0" borderId="5" xfId="0" applyFont="1" applyFill="1" applyBorder="1" applyAlignment="1" applyProtection="1">
      <alignment vertical="center" wrapText="1"/>
    </xf>
    <xf numFmtId="0" fontId="14" fillId="18" borderId="1" xfId="0" applyFont="1" applyFill="1" applyBorder="1" applyAlignment="1" applyProtection="1"/>
    <xf numFmtId="0" fontId="14" fillId="18" borderId="7" xfId="0" applyFont="1" applyFill="1" applyBorder="1" applyAlignment="1" applyProtection="1"/>
    <xf numFmtId="0" fontId="14" fillId="18" borderId="5" xfId="0" applyFont="1" applyFill="1" applyBorder="1" applyAlignment="1" applyProtection="1"/>
    <xf numFmtId="0" fontId="24" fillId="0" borderId="49" xfId="0" applyFont="1" applyFill="1" applyBorder="1" applyAlignment="1" applyProtection="1">
      <alignment horizontal="left" wrapText="1"/>
    </xf>
    <xf numFmtId="0" fontId="24" fillId="0" borderId="47" xfId="0" applyFont="1" applyFill="1" applyBorder="1" applyAlignment="1" applyProtection="1">
      <alignment horizontal="left" wrapText="1"/>
    </xf>
    <xf numFmtId="0" fontId="24" fillId="0" borderId="48" xfId="0" applyFont="1" applyFill="1" applyBorder="1" applyAlignment="1" applyProtection="1">
      <alignment horizontal="left" wrapText="1"/>
    </xf>
    <xf numFmtId="0" fontId="14" fillId="0" borderId="1" xfId="0" applyFont="1" applyFill="1" applyBorder="1" applyAlignment="1" applyProtection="1">
      <alignment vertical="center"/>
    </xf>
    <xf numFmtId="0" fontId="14" fillId="0" borderId="7" xfId="0" applyFont="1" applyFill="1" applyBorder="1" applyAlignment="1" applyProtection="1">
      <alignment vertical="center"/>
    </xf>
    <xf numFmtId="0" fontId="14" fillId="0" borderId="5" xfId="0" applyFont="1" applyFill="1" applyBorder="1" applyAlignment="1" applyProtection="1">
      <alignment vertical="center"/>
    </xf>
    <xf numFmtId="0" fontId="13" fillId="0" borderId="3" xfId="0" applyFont="1" applyFill="1" applyBorder="1" applyAlignment="1" applyProtection="1">
      <alignment vertical="center"/>
    </xf>
    <xf numFmtId="0" fontId="20" fillId="0" borderId="49" xfId="0" applyFont="1" applyFill="1" applyBorder="1" applyAlignment="1" applyProtection="1">
      <alignment horizontal="left" vertical="center" wrapText="1"/>
    </xf>
    <xf numFmtId="0" fontId="20" fillId="0" borderId="47" xfId="0" applyFont="1" applyFill="1" applyBorder="1" applyAlignment="1" applyProtection="1">
      <alignment horizontal="left" vertical="center" wrapText="1"/>
    </xf>
    <xf numFmtId="0" fontId="20" fillId="0" borderId="48" xfId="0" applyFont="1" applyFill="1" applyBorder="1" applyAlignment="1" applyProtection="1">
      <alignment horizontal="left" vertical="center" wrapText="1"/>
    </xf>
    <xf numFmtId="0" fontId="13" fillId="0" borderId="49" xfId="0" applyFont="1" applyFill="1" applyBorder="1" applyAlignment="1" applyProtection="1">
      <alignment horizontal="left" wrapText="1"/>
    </xf>
    <xf numFmtId="0" fontId="13" fillId="0" borderId="47" xfId="0" applyFont="1" applyFill="1" applyBorder="1" applyAlignment="1" applyProtection="1">
      <alignment horizontal="left" wrapText="1"/>
    </xf>
    <xf numFmtId="0" fontId="13" fillId="0" borderId="48" xfId="0" applyFont="1" applyFill="1" applyBorder="1" applyAlignment="1" applyProtection="1">
      <alignment horizontal="left" wrapText="1"/>
    </xf>
    <xf numFmtId="0" fontId="23" fillId="15" borderId="42" xfId="0" applyFont="1" applyFill="1" applyBorder="1" applyAlignment="1" applyProtection="1">
      <alignment horizontal="right" vertical="center" wrapText="1"/>
    </xf>
    <xf numFmtId="0" fontId="14" fillId="0" borderId="49" xfId="0" applyFont="1" applyFill="1" applyBorder="1" applyAlignment="1" applyProtection="1">
      <alignment horizontal="left" vertical="center" wrapText="1"/>
    </xf>
    <xf numFmtId="0" fontId="14" fillId="0" borderId="47" xfId="0" applyFont="1" applyFill="1" applyBorder="1" applyAlignment="1" applyProtection="1">
      <alignment horizontal="left" vertical="center" wrapText="1"/>
    </xf>
    <xf numFmtId="0" fontId="14" fillId="0" borderId="48" xfId="0" applyFont="1" applyFill="1" applyBorder="1" applyAlignment="1" applyProtection="1">
      <alignment horizontal="left" vertical="center" wrapText="1"/>
    </xf>
    <xf numFmtId="0" fontId="13" fillId="0" borderId="49" xfId="0" applyFont="1" applyFill="1" applyBorder="1" applyAlignment="1" applyProtection="1">
      <alignment horizontal="left" vertical="center" wrapText="1"/>
    </xf>
    <xf numFmtId="0" fontId="13" fillId="0" borderId="47" xfId="0" applyFont="1" applyFill="1" applyBorder="1" applyAlignment="1" applyProtection="1">
      <alignment horizontal="left" vertical="center" wrapText="1"/>
    </xf>
    <xf numFmtId="0" fontId="13" fillId="0" borderId="48" xfId="0" applyFont="1" applyFill="1" applyBorder="1" applyAlignment="1" applyProtection="1">
      <alignment horizontal="left" vertical="center" wrapText="1"/>
    </xf>
    <xf numFmtId="0" fontId="51" fillId="18" borderId="0" xfId="0" applyFont="1" applyFill="1" applyBorder="1" applyAlignment="1" applyProtection="1">
      <alignment horizontal="center" vertical="center"/>
    </xf>
    <xf numFmtId="0" fontId="35" fillId="18" borderId="0" xfId="0" applyFont="1" applyFill="1" applyBorder="1" applyAlignment="1" applyProtection="1">
      <alignment horizontal="center" vertical="center"/>
    </xf>
    <xf numFmtId="0" fontId="12" fillId="18" borderId="0" xfId="0" applyFont="1" applyFill="1" applyBorder="1" applyAlignment="1" applyProtection="1">
      <alignment horizontal="center" vertical="center"/>
    </xf>
    <xf numFmtId="0" fontId="14" fillId="20" borderId="16" xfId="0" applyFont="1" applyFill="1" applyBorder="1" applyAlignment="1" applyProtection="1">
      <alignment horizontal="center" vertical="center"/>
    </xf>
    <xf numFmtId="0" fontId="14" fillId="20" borderId="20" xfId="0" applyFont="1" applyFill="1" applyBorder="1" applyAlignment="1" applyProtection="1">
      <alignment horizontal="center" vertical="center"/>
    </xf>
    <xf numFmtId="0" fontId="14" fillId="20" borderId="23" xfId="0" applyFont="1" applyFill="1" applyBorder="1" applyAlignment="1" applyProtection="1">
      <alignment horizontal="center" vertical="center"/>
    </xf>
    <xf numFmtId="0" fontId="14" fillId="20" borderId="14" xfId="0" applyFont="1" applyFill="1" applyBorder="1" applyAlignment="1" applyProtection="1">
      <alignment horizontal="center" vertical="center"/>
    </xf>
    <xf numFmtId="0" fontId="14" fillId="20" borderId="15" xfId="0" applyFont="1" applyFill="1" applyBorder="1" applyAlignment="1" applyProtection="1">
      <alignment horizontal="center" vertical="center"/>
    </xf>
    <xf numFmtId="0" fontId="14" fillId="20" borderId="6" xfId="0" applyFont="1" applyFill="1" applyBorder="1" applyAlignment="1" applyProtection="1">
      <alignment horizontal="center" vertical="center"/>
    </xf>
    <xf numFmtId="0" fontId="13" fillId="18" borderId="16" xfId="0" applyFont="1" applyFill="1" applyBorder="1" applyAlignment="1" applyProtection="1">
      <alignment horizontal="center" vertical="center" wrapText="1"/>
    </xf>
    <xf numFmtId="0" fontId="13" fillId="18" borderId="20" xfId="0" applyFont="1" applyFill="1" applyBorder="1" applyAlignment="1" applyProtection="1">
      <alignment horizontal="center" vertical="center" wrapText="1"/>
    </xf>
    <xf numFmtId="0" fontId="13" fillId="18" borderId="23" xfId="0" applyFont="1" applyFill="1" applyBorder="1" applyAlignment="1" applyProtection="1">
      <alignment horizontal="center" vertical="center" wrapText="1"/>
    </xf>
    <xf numFmtId="0" fontId="13" fillId="18" borderId="14" xfId="0" applyFont="1" applyFill="1" applyBorder="1" applyAlignment="1" applyProtection="1">
      <alignment horizontal="center" vertical="center" wrapText="1"/>
    </xf>
    <xf numFmtId="0" fontId="13" fillId="18" borderId="15" xfId="0" applyFont="1" applyFill="1" applyBorder="1" applyAlignment="1" applyProtection="1">
      <alignment horizontal="center" vertical="center" wrapText="1"/>
    </xf>
    <xf numFmtId="0" fontId="13" fillId="18" borderId="6" xfId="0" applyFont="1" applyFill="1" applyBorder="1" applyAlignment="1" applyProtection="1">
      <alignment horizontal="center" vertical="center" wrapText="1"/>
    </xf>
    <xf numFmtId="0" fontId="14" fillId="20" borderId="9" xfId="3" applyFont="1" applyFill="1" applyBorder="1" applyAlignment="1" applyProtection="1">
      <alignment horizontal="center" vertical="center"/>
    </xf>
    <xf numFmtId="0" fontId="14" fillId="20" borderId="8" xfId="3" applyFont="1" applyFill="1" applyBorder="1" applyAlignment="1" applyProtection="1">
      <alignment horizontal="center" vertical="center"/>
    </xf>
    <xf numFmtId="0" fontId="14" fillId="20" borderId="13" xfId="3" applyFont="1" applyFill="1" applyBorder="1" applyAlignment="1" applyProtection="1">
      <alignment horizontal="center" vertical="center"/>
    </xf>
    <xf numFmtId="0" fontId="23" fillId="18" borderId="0" xfId="3" applyFont="1" applyFill="1" applyBorder="1" applyAlignment="1" applyProtection="1">
      <alignment horizontal="right" vertical="center" wrapText="1"/>
    </xf>
    <xf numFmtId="0" fontId="13" fillId="18" borderId="0" xfId="0" applyFont="1" applyFill="1" applyBorder="1" applyAlignment="1" applyProtection="1">
      <alignment horizontal="center" vertical="center"/>
    </xf>
    <xf numFmtId="0" fontId="14" fillId="18" borderId="0" xfId="0" applyFont="1" applyFill="1" applyBorder="1" applyAlignment="1" applyProtection="1">
      <alignment horizontal="center" vertical="center"/>
    </xf>
    <xf numFmtId="0" fontId="81" fillId="5" borderId="0" xfId="0" applyFont="1" applyFill="1" applyBorder="1" applyAlignment="1" applyProtection="1">
      <alignment horizontal="center"/>
    </xf>
    <xf numFmtId="0" fontId="82" fillId="5" borderId="0" xfId="0" applyFont="1" applyFill="1" applyBorder="1" applyAlignment="1" applyProtection="1">
      <alignment horizontal="center" wrapText="1"/>
    </xf>
    <xf numFmtId="0" fontId="10" fillId="5" borderId="0" xfId="0" applyFont="1" applyFill="1" applyBorder="1" applyAlignment="1" applyProtection="1">
      <alignment horizontal="center"/>
    </xf>
    <xf numFmtId="0" fontId="31" fillId="25" borderId="16" xfId="0" applyFont="1" applyFill="1" applyBorder="1" applyAlignment="1" applyProtection="1">
      <alignment horizontal="center"/>
    </xf>
    <xf numFmtId="0" fontId="31" fillId="25" borderId="20" xfId="0" applyFont="1" applyFill="1" applyBorder="1" applyAlignment="1" applyProtection="1">
      <alignment horizontal="center"/>
    </xf>
    <xf numFmtId="0" fontId="31" fillId="25" borderId="23" xfId="0" applyFont="1" applyFill="1" applyBorder="1" applyAlignment="1" applyProtection="1">
      <alignment horizontal="center"/>
    </xf>
    <xf numFmtId="0" fontId="31" fillId="25" borderId="14" xfId="0" applyFont="1" applyFill="1" applyBorder="1" applyAlignment="1" applyProtection="1">
      <alignment horizontal="center"/>
    </xf>
    <xf numFmtId="0" fontId="31" fillId="25" borderId="15" xfId="0" applyFont="1" applyFill="1" applyBorder="1" applyAlignment="1" applyProtection="1">
      <alignment horizontal="center"/>
    </xf>
    <xf numFmtId="0" fontId="31" fillId="25" borderId="6" xfId="0" applyFont="1" applyFill="1" applyBorder="1" applyAlignment="1" applyProtection="1">
      <alignment horizontal="center"/>
    </xf>
    <xf numFmtId="0" fontId="14" fillId="3" borderId="1" xfId="3" applyFont="1" applyFill="1" applyBorder="1" applyAlignment="1" applyProtection="1">
      <alignment horizontal="center" vertical="center" wrapText="1"/>
    </xf>
    <xf numFmtId="0" fontId="14" fillId="3" borderId="7" xfId="3" applyFont="1" applyFill="1" applyBorder="1" applyAlignment="1" applyProtection="1">
      <alignment horizontal="center" vertical="center" wrapText="1"/>
    </xf>
    <xf numFmtId="0" fontId="14" fillId="3" borderId="5" xfId="3" applyFont="1" applyFill="1" applyBorder="1" applyAlignment="1" applyProtection="1">
      <alignment horizontal="center" vertical="center" wrapText="1"/>
    </xf>
    <xf numFmtId="0" fontId="31" fillId="0" borderId="9" xfId="0" applyFont="1" applyBorder="1" applyAlignment="1" applyProtection="1">
      <alignment horizontal="center" vertical="center"/>
    </xf>
    <xf numFmtId="0" fontId="31" fillId="0" borderId="8" xfId="0" applyFont="1" applyBorder="1" applyAlignment="1" applyProtection="1">
      <alignment horizontal="center" vertical="center"/>
    </xf>
    <xf numFmtId="0" fontId="31" fillId="0" borderId="13" xfId="0" applyFont="1" applyBorder="1" applyAlignment="1" applyProtection="1">
      <alignment horizontal="center" vertical="center"/>
    </xf>
    <xf numFmtId="0" fontId="11" fillId="5" borderId="90" xfId="0" applyFont="1" applyFill="1" applyBorder="1" applyAlignment="1" applyProtection="1">
      <alignment horizontal="left"/>
    </xf>
    <xf numFmtId="0" fontId="11" fillId="5" borderId="64" xfId="0" applyFont="1" applyFill="1" applyBorder="1" applyAlignment="1" applyProtection="1">
      <alignment horizontal="left"/>
    </xf>
    <xf numFmtId="0" fontId="11" fillId="5" borderId="65" xfId="0" applyFont="1" applyFill="1" applyBorder="1" applyAlignment="1" applyProtection="1">
      <alignment horizontal="left"/>
    </xf>
    <xf numFmtId="0" fontId="11" fillId="5" borderId="92" xfId="0" applyFont="1" applyFill="1" applyBorder="1" applyAlignment="1" applyProtection="1">
      <alignment horizontal="left"/>
    </xf>
    <xf numFmtId="0" fontId="11" fillId="5" borderId="7" xfId="0" applyFont="1" applyFill="1" applyBorder="1" applyAlignment="1" applyProtection="1">
      <alignment horizontal="left"/>
    </xf>
    <xf numFmtId="0" fontId="11" fillId="5" borderId="93" xfId="0" applyFont="1" applyFill="1" applyBorder="1" applyAlignment="1" applyProtection="1">
      <alignment horizontal="left"/>
    </xf>
    <xf numFmtId="0" fontId="11" fillId="5" borderId="95" xfId="0" applyFont="1" applyFill="1" applyBorder="1" applyAlignment="1" applyProtection="1">
      <alignment horizontal="left"/>
    </xf>
    <xf numFmtId="0" fontId="11" fillId="5" borderId="66" xfId="0" applyFont="1" applyFill="1" applyBorder="1" applyAlignment="1" applyProtection="1">
      <alignment horizontal="left"/>
    </xf>
    <xf numFmtId="0" fontId="11" fillId="5" borderId="67" xfId="0" applyFont="1" applyFill="1" applyBorder="1" applyAlignment="1" applyProtection="1">
      <alignment horizontal="left"/>
    </xf>
    <xf numFmtId="0" fontId="31" fillId="0" borderId="9" xfId="0" applyFont="1" applyBorder="1" applyAlignment="1" applyProtection="1">
      <alignment horizontal="right" vertical="center"/>
    </xf>
    <xf numFmtId="0" fontId="31" fillId="0" borderId="8" xfId="0" applyFont="1" applyBorder="1" applyAlignment="1" applyProtection="1">
      <alignment horizontal="right" vertical="center"/>
    </xf>
    <xf numFmtId="0" fontId="31" fillId="0" borderId="13" xfId="0" applyFont="1" applyBorder="1" applyAlignment="1" applyProtection="1">
      <alignment horizontal="right" vertical="center"/>
    </xf>
    <xf numFmtId="0" fontId="37" fillId="11" borderId="76" xfId="0" applyFont="1" applyFill="1" applyBorder="1" applyAlignment="1" applyProtection="1">
      <alignment horizontal="left"/>
    </xf>
    <xf numFmtId="0" fontId="38" fillId="11" borderId="0" xfId="0" applyFont="1" applyFill="1" applyBorder="1" applyAlignment="1" applyProtection="1">
      <alignment horizontal="left" wrapText="1"/>
    </xf>
    <xf numFmtId="0" fontId="39" fillId="0" borderId="0" xfId="0" applyFont="1" applyBorder="1" applyProtection="1"/>
    <xf numFmtId="0" fontId="41" fillId="5" borderId="98" xfId="0" applyFont="1" applyFill="1" applyBorder="1" applyAlignment="1" applyProtection="1">
      <alignment horizontal="left"/>
    </xf>
    <xf numFmtId="0" fontId="42" fillId="5" borderId="99" xfId="0" applyFont="1" applyFill="1" applyBorder="1" applyAlignment="1" applyProtection="1">
      <alignment horizontal="left" vertical="center" wrapText="1"/>
    </xf>
    <xf numFmtId="0" fontId="31" fillId="3" borderId="9" xfId="0" applyFont="1" applyFill="1" applyBorder="1" applyAlignment="1" applyProtection="1">
      <alignment horizontal="center"/>
    </xf>
    <xf numFmtId="0" fontId="31" fillId="3" borderId="8" xfId="0" applyFont="1" applyFill="1" applyBorder="1" applyAlignment="1" applyProtection="1">
      <alignment horizontal="center"/>
    </xf>
    <xf numFmtId="0" fontId="31" fillId="3" borderId="13" xfId="0" applyFont="1" applyFill="1" applyBorder="1" applyAlignment="1" applyProtection="1">
      <alignment horizontal="center"/>
    </xf>
    <xf numFmtId="0" fontId="41" fillId="5" borderId="99" xfId="0" applyFont="1" applyFill="1" applyBorder="1" applyAlignment="1" applyProtection="1">
      <alignment horizontal="left" vertical="center" wrapText="1"/>
    </xf>
    <xf numFmtId="0" fontId="41" fillId="5" borderId="100" xfId="0" applyFont="1" applyFill="1" applyBorder="1" applyAlignment="1" applyProtection="1">
      <alignment horizontal="left" vertical="center" wrapText="1"/>
    </xf>
    <xf numFmtId="0" fontId="42" fillId="5" borderId="101" xfId="0" applyFont="1" applyFill="1" applyBorder="1" applyAlignment="1" applyProtection="1">
      <alignment horizontal="left" vertical="center" wrapText="1"/>
    </xf>
    <xf numFmtId="0" fontId="41" fillId="5" borderId="101" xfId="0" applyFont="1" applyFill="1" applyBorder="1" applyAlignment="1" applyProtection="1">
      <alignment horizontal="left" vertical="center" wrapText="1"/>
    </xf>
    <xf numFmtId="0" fontId="75" fillId="0" borderId="76" xfId="3" applyFont="1" applyFill="1" applyBorder="1" applyAlignment="1" applyProtection="1">
      <alignment horizontal="left" wrapText="1"/>
    </xf>
    <xf numFmtId="0" fontId="13" fillId="0" borderId="0" xfId="3" applyFont="1" applyAlignment="1" applyProtection="1">
      <alignment horizontal="left" vertical="top" wrapText="1"/>
    </xf>
    <xf numFmtId="0" fontId="13" fillId="0" borderId="0" xfId="3" applyFont="1" applyFill="1" applyAlignment="1" applyProtection="1">
      <alignment horizontal="left" vertical="top" wrapText="1"/>
    </xf>
    <xf numFmtId="0" fontId="14" fillId="40" borderId="1" xfId="3" applyFont="1" applyFill="1" applyBorder="1" applyAlignment="1" applyProtection="1">
      <alignment horizontal="center" vertical="center" wrapText="1"/>
    </xf>
    <xf numFmtId="0" fontId="14" fillId="40" borderId="7" xfId="3" applyFont="1" applyFill="1" applyBorder="1" applyAlignment="1" applyProtection="1">
      <alignment horizontal="center" vertical="center" wrapText="1"/>
    </xf>
    <xf numFmtId="0" fontId="14" fillId="40" borderId="5" xfId="3" applyFont="1" applyFill="1" applyBorder="1" applyAlignment="1" applyProtection="1">
      <alignment horizontal="center" vertical="center" wrapText="1"/>
    </xf>
    <xf numFmtId="170" fontId="86" fillId="39" borderId="0" xfId="0" applyNumberFormat="1" applyFont="1" applyFill="1" applyBorder="1" applyAlignment="1" applyProtection="1">
      <alignment horizontal="right" vertical="center"/>
    </xf>
    <xf numFmtId="170" fontId="86" fillId="39" borderId="33" xfId="0" applyNumberFormat="1" applyFont="1" applyFill="1" applyBorder="1" applyAlignment="1" applyProtection="1">
      <alignment horizontal="right" vertical="center"/>
    </xf>
    <xf numFmtId="0" fontId="33" fillId="0" borderId="113" xfId="5" applyFont="1" applyBorder="1" applyAlignment="1" applyProtection="1">
      <alignment horizontal="left"/>
    </xf>
    <xf numFmtId="0" fontId="13" fillId="5" borderId="0" xfId="3" applyFont="1" applyFill="1" applyBorder="1" applyAlignment="1" applyProtection="1">
      <alignment horizontal="left"/>
    </xf>
    <xf numFmtId="0" fontId="14" fillId="5" borderId="1" xfId="3" applyFont="1" applyFill="1" applyBorder="1" applyAlignment="1" applyProtection="1">
      <alignment horizontal="center" vertical="center" wrapText="1"/>
    </xf>
    <xf numFmtId="0" fontId="14" fillId="5" borderId="5" xfId="3" applyFont="1" applyFill="1" applyBorder="1" applyAlignment="1" applyProtection="1">
      <alignment horizontal="center" vertical="center" wrapText="1"/>
    </xf>
    <xf numFmtId="0" fontId="13" fillId="38" borderId="1" xfId="3" applyFont="1" applyFill="1" applyBorder="1" applyAlignment="1" applyProtection="1">
      <alignment horizontal="center" vertical="center"/>
    </xf>
    <xf numFmtId="0" fontId="13" fillId="38" borderId="5" xfId="3" applyFont="1" applyFill="1" applyBorder="1" applyAlignment="1" applyProtection="1">
      <alignment horizontal="center" vertical="center"/>
    </xf>
    <xf numFmtId="0" fontId="51" fillId="5" borderId="0" xfId="3" applyFont="1" applyFill="1" applyBorder="1" applyAlignment="1" applyProtection="1">
      <alignment horizontal="center" vertical="center" wrapText="1"/>
    </xf>
    <xf numFmtId="0" fontId="35" fillId="5" borderId="0" xfId="3" applyFont="1" applyFill="1" applyBorder="1" applyAlignment="1" applyProtection="1">
      <alignment horizontal="center" vertical="center" wrapText="1"/>
    </xf>
    <xf numFmtId="0" fontId="12" fillId="5" borderId="0" xfId="3" applyFont="1" applyFill="1" applyBorder="1" applyAlignment="1" applyProtection="1">
      <alignment horizontal="center" vertical="center" wrapText="1"/>
    </xf>
    <xf numFmtId="0" fontId="14" fillId="25" borderId="16" xfId="0" applyFont="1" applyFill="1" applyBorder="1" applyAlignment="1" applyProtection="1">
      <alignment horizontal="center" vertical="center"/>
    </xf>
    <xf numFmtId="0" fontId="14" fillId="25" borderId="20" xfId="0" applyFont="1" applyFill="1" applyBorder="1" applyAlignment="1" applyProtection="1">
      <alignment horizontal="center" vertical="center"/>
    </xf>
    <xf numFmtId="0" fontId="14" fillId="25" borderId="23" xfId="0" applyFont="1" applyFill="1" applyBorder="1" applyAlignment="1" applyProtection="1">
      <alignment horizontal="center" vertical="center"/>
    </xf>
    <xf numFmtId="0" fontId="14" fillId="25" borderId="14" xfId="0" applyFont="1" applyFill="1" applyBorder="1" applyAlignment="1" applyProtection="1">
      <alignment horizontal="center" vertical="center"/>
    </xf>
    <xf numFmtId="0" fontId="14" fillId="25" borderId="15" xfId="0" applyFont="1" applyFill="1" applyBorder="1" applyAlignment="1" applyProtection="1">
      <alignment horizontal="center" vertical="center"/>
    </xf>
    <xf numFmtId="0" fontId="14" fillId="25" borderId="6" xfId="0" applyFont="1" applyFill="1" applyBorder="1" applyAlignment="1" applyProtection="1">
      <alignment horizontal="center" vertical="center"/>
    </xf>
    <xf numFmtId="0" fontId="34" fillId="26" borderId="9" xfId="3" applyFont="1" applyFill="1" applyBorder="1" applyAlignment="1" applyProtection="1">
      <alignment horizontal="center" vertical="center" wrapText="1"/>
    </xf>
    <xf numFmtId="0" fontId="34" fillId="26" borderId="8" xfId="3" applyFont="1" applyFill="1" applyBorder="1" applyAlignment="1" applyProtection="1">
      <alignment horizontal="center" vertical="center" wrapText="1"/>
    </xf>
    <xf numFmtId="0" fontId="34" fillId="26" borderId="13" xfId="3" applyFont="1" applyFill="1" applyBorder="1" applyAlignment="1" applyProtection="1">
      <alignment horizontal="center" vertical="center" wrapText="1"/>
    </xf>
    <xf numFmtId="0" fontId="66" fillId="11" borderId="54" xfId="0" applyFont="1" applyFill="1" applyBorder="1" applyAlignment="1" applyProtection="1">
      <alignment horizontal="left"/>
    </xf>
    <xf numFmtId="0" fontId="35" fillId="0" borderId="54" xfId="0" applyFont="1" applyBorder="1" applyProtection="1"/>
    <xf numFmtId="0" fontId="37" fillId="11" borderId="54" xfId="0" applyFont="1" applyFill="1" applyBorder="1" applyAlignment="1" applyProtection="1">
      <alignment horizontal="left"/>
    </xf>
    <xf numFmtId="0" fontId="13" fillId="0" borderId="54" xfId="0" applyFont="1" applyBorder="1" applyProtection="1"/>
    <xf numFmtId="0" fontId="86" fillId="39" borderId="0" xfId="3" applyFont="1" applyFill="1" applyBorder="1" applyAlignment="1" applyProtection="1">
      <alignment horizontal="right" vertical="center" wrapText="1"/>
    </xf>
    <xf numFmtId="0" fontId="14" fillId="43" borderId="1" xfId="3" applyFont="1" applyFill="1" applyBorder="1" applyAlignment="1" applyProtection="1">
      <alignment horizontal="center" vertical="center" wrapText="1"/>
    </xf>
    <xf numFmtId="0" fontId="14" fillId="43" borderId="7" xfId="3" applyFont="1" applyFill="1" applyBorder="1" applyAlignment="1" applyProtection="1">
      <alignment horizontal="center" vertical="center" wrapText="1"/>
    </xf>
    <xf numFmtId="0" fontId="14" fillId="43" borderId="5" xfId="3" applyFont="1" applyFill="1" applyBorder="1" applyAlignment="1" applyProtection="1">
      <alignment horizontal="center" vertical="center" wrapText="1"/>
    </xf>
    <xf numFmtId="0" fontId="13" fillId="0" borderId="0" xfId="3" applyFont="1" applyFill="1" applyAlignment="1" applyProtection="1">
      <alignment horizontal="left" vertical="center" wrapText="1"/>
    </xf>
    <xf numFmtId="0" fontId="13" fillId="5" borderId="1" xfId="3" applyFont="1" applyFill="1" applyBorder="1" applyAlignment="1" applyProtection="1">
      <alignment horizontal="left" vertical="center" wrapText="1"/>
    </xf>
    <xf numFmtId="0" fontId="13" fillId="5" borderId="5" xfId="3" applyFont="1" applyFill="1" applyBorder="1" applyAlignment="1" applyProtection="1">
      <alignment horizontal="left" vertical="center" wrapText="1"/>
    </xf>
    <xf numFmtId="0" fontId="13" fillId="5" borderId="20" xfId="3" applyFont="1" applyFill="1" applyBorder="1" applyAlignment="1" applyProtection="1">
      <alignment horizontal="left" vertical="center" wrapText="1"/>
    </xf>
    <xf numFmtId="0" fontId="33" fillId="0" borderId="27" xfId="5" applyFont="1" applyBorder="1" applyAlignment="1" applyProtection="1">
      <alignment horizontal="left"/>
    </xf>
    <xf numFmtId="0" fontId="34" fillId="26" borderId="1" xfId="3" applyFont="1" applyFill="1" applyBorder="1" applyAlignment="1" applyProtection="1">
      <alignment horizontal="center" vertical="center" wrapText="1"/>
    </xf>
    <xf numFmtId="0" fontId="34" fillId="26" borderId="5" xfId="3" applyFont="1" applyFill="1" applyBorder="1" applyAlignment="1" applyProtection="1">
      <alignment horizontal="center" vertical="center" wrapText="1"/>
    </xf>
    <xf numFmtId="0" fontId="14" fillId="5" borderId="1" xfId="3" applyFont="1" applyFill="1" applyBorder="1" applyAlignment="1" applyProtection="1">
      <alignment horizontal="center" vertical="center"/>
    </xf>
    <xf numFmtId="0" fontId="14" fillId="5" borderId="5" xfId="3" applyFont="1" applyFill="1" applyBorder="1" applyAlignment="1" applyProtection="1">
      <alignment horizontal="center" vertical="center"/>
    </xf>
    <xf numFmtId="0" fontId="53" fillId="5" borderId="15" xfId="3" applyFont="1" applyFill="1" applyBorder="1" applyAlignment="1" applyProtection="1">
      <alignment horizontal="center"/>
    </xf>
    <xf numFmtId="0" fontId="13" fillId="0" borderId="0" xfId="0" applyFont="1" applyBorder="1" applyAlignment="1" applyProtection="1">
      <alignment horizontal="left" vertical="center" wrapText="1"/>
    </xf>
    <xf numFmtId="0" fontId="14" fillId="4" borderId="1" xfId="3" applyFont="1" applyFill="1" applyBorder="1" applyAlignment="1" applyProtection="1">
      <alignment horizontal="center" vertical="center"/>
    </xf>
    <xf numFmtId="0" fontId="14" fillId="4" borderId="5" xfId="3" applyFont="1" applyFill="1" applyBorder="1" applyAlignment="1" applyProtection="1">
      <alignment horizontal="center" vertical="center"/>
    </xf>
    <xf numFmtId="0" fontId="13" fillId="0" borderId="1" xfId="3" applyFont="1" applyBorder="1" applyAlignment="1" applyProtection="1">
      <alignment horizontal="center" vertical="center"/>
    </xf>
    <xf numFmtId="0" fontId="13" fillId="0" borderId="5" xfId="3" applyFont="1" applyBorder="1" applyAlignment="1" applyProtection="1">
      <alignment horizontal="center" vertical="center"/>
    </xf>
    <xf numFmtId="0" fontId="13" fillId="7" borderId="1" xfId="3" applyFont="1" applyFill="1" applyBorder="1" applyAlignment="1" applyProtection="1">
      <alignment horizontal="center" vertical="center"/>
    </xf>
    <xf numFmtId="0" fontId="13" fillId="7" borderId="5" xfId="3" applyFont="1" applyFill="1" applyBorder="1" applyAlignment="1" applyProtection="1">
      <alignment horizontal="center" vertical="center"/>
    </xf>
    <xf numFmtId="0" fontId="23" fillId="33" borderId="4" xfId="0" applyFont="1" applyFill="1" applyBorder="1" applyAlignment="1" applyProtection="1">
      <alignment horizontal="center" vertical="center" wrapText="1"/>
    </xf>
    <xf numFmtId="0" fontId="23" fillId="33" borderId="18" xfId="0" applyFont="1" applyFill="1" applyBorder="1" applyAlignment="1" applyProtection="1">
      <alignment horizontal="center" vertical="center" wrapText="1"/>
    </xf>
    <xf numFmtId="0" fontId="23" fillId="33" borderId="2" xfId="0" applyFont="1" applyFill="1" applyBorder="1" applyAlignment="1" applyProtection="1">
      <alignment horizontal="center" vertical="center" wrapText="1"/>
    </xf>
    <xf numFmtId="0" fontId="33" fillId="5" borderId="27" xfId="3" applyFont="1" applyFill="1" applyBorder="1" applyAlignment="1" applyProtection="1">
      <alignment horizontal="center"/>
    </xf>
    <xf numFmtId="0" fontId="14" fillId="35" borderId="29" xfId="3" applyFont="1" applyFill="1" applyBorder="1" applyAlignment="1" applyProtection="1">
      <alignment horizontal="center" vertical="center"/>
    </xf>
    <xf numFmtId="0" fontId="14" fillId="35" borderId="2" xfId="3" applyFont="1" applyFill="1" applyBorder="1" applyAlignment="1" applyProtection="1">
      <alignment horizontal="center" vertical="center"/>
    </xf>
    <xf numFmtId="0" fontId="14" fillId="35" borderId="29" xfId="3" applyFont="1" applyFill="1" applyBorder="1" applyAlignment="1" applyProtection="1">
      <alignment horizontal="center" vertical="center" wrapText="1"/>
    </xf>
    <xf numFmtId="0" fontId="14" fillId="35" borderId="2" xfId="3" applyFont="1" applyFill="1" applyBorder="1" applyAlignment="1" applyProtection="1">
      <alignment horizontal="center" vertical="center" wrapText="1"/>
    </xf>
    <xf numFmtId="0" fontId="14" fillId="2" borderId="3" xfId="3" applyFont="1" applyFill="1" applyBorder="1" applyAlignment="1" applyProtection="1">
      <alignment horizontal="center" vertical="center"/>
    </xf>
    <xf numFmtId="0" fontId="14" fillId="2" borderId="29" xfId="3" applyFont="1" applyFill="1" applyBorder="1" applyAlignment="1" applyProtection="1">
      <alignment horizontal="center" vertical="center" wrapText="1"/>
    </xf>
    <xf numFmtId="0" fontId="14" fillId="2" borderId="2" xfId="3" applyFont="1" applyFill="1" applyBorder="1" applyAlignment="1" applyProtection="1">
      <alignment horizontal="center" vertical="center" wrapText="1"/>
    </xf>
    <xf numFmtId="0" fontId="13" fillId="0" borderId="0" xfId="3" applyFont="1" applyBorder="1" applyAlignment="1" applyProtection="1">
      <alignment horizontal="left" vertical="center" wrapText="1"/>
    </xf>
    <xf numFmtId="0" fontId="52" fillId="11" borderId="62" xfId="0" applyFont="1" applyFill="1" applyBorder="1" applyAlignment="1" applyProtection="1">
      <alignment horizontal="center"/>
    </xf>
    <xf numFmtId="0" fontId="35" fillId="0" borderId="62" xfId="0" applyFont="1" applyBorder="1" applyProtection="1"/>
    <xf numFmtId="0" fontId="53" fillId="5" borderId="0" xfId="3" applyFont="1" applyFill="1" applyBorder="1" applyAlignment="1" applyProtection="1">
      <alignment horizontal="center"/>
    </xf>
    <xf numFmtId="0" fontId="13" fillId="5" borderId="0" xfId="3" applyFont="1" applyFill="1" applyAlignment="1" applyProtection="1">
      <alignment horizontal="left" vertical="center" wrapText="1"/>
    </xf>
    <xf numFmtId="0" fontId="14" fillId="10" borderId="0" xfId="0" applyFont="1" applyFill="1" applyBorder="1" applyAlignment="1" applyProtection="1">
      <alignment horizontal="left" vertical="center" wrapText="1"/>
    </xf>
    <xf numFmtId="0" fontId="13" fillId="10" borderId="0" xfId="0" applyFont="1" applyFill="1" applyBorder="1" applyAlignment="1" applyProtection="1">
      <alignment horizontal="left" vertical="center" wrapText="1"/>
    </xf>
    <xf numFmtId="0" fontId="21" fillId="5" borderId="3" xfId="0" applyFont="1" applyFill="1" applyBorder="1" applyAlignment="1" applyProtection="1">
      <alignment horizontal="left" vertical="center" wrapText="1"/>
    </xf>
    <xf numFmtId="0" fontId="41" fillId="5" borderId="27" xfId="3" applyFont="1" applyFill="1" applyBorder="1" applyAlignment="1" applyProtection="1">
      <alignment horizontal="left"/>
    </xf>
    <xf numFmtId="0" fontId="14" fillId="0" borderId="0" xfId="3" applyFont="1" applyFill="1" applyBorder="1" applyAlignment="1" applyProtection="1">
      <alignment horizontal="center" vertical="center" wrapText="1"/>
    </xf>
    <xf numFmtId="0" fontId="14" fillId="2" borderId="2" xfId="3" applyFont="1" applyFill="1" applyBorder="1" applyAlignment="1" applyProtection="1">
      <alignment horizontal="center" vertical="center"/>
    </xf>
    <xf numFmtId="0" fontId="23" fillId="33" borderId="3" xfId="0" applyFont="1" applyFill="1" applyBorder="1" applyAlignment="1" applyProtection="1">
      <alignment horizontal="center" vertical="center" wrapText="1"/>
    </xf>
    <xf numFmtId="0" fontId="14" fillId="3" borderId="9" xfId="3" applyFont="1" applyFill="1" applyBorder="1" applyAlignment="1" applyProtection="1">
      <alignment horizontal="center" vertical="center" wrapText="1"/>
    </xf>
    <xf numFmtId="0" fontId="14" fillId="3" borderId="8" xfId="3" applyFont="1" applyFill="1" applyBorder="1" applyAlignment="1" applyProtection="1">
      <alignment horizontal="center" vertical="center" wrapText="1"/>
    </xf>
    <xf numFmtId="0" fontId="14" fillId="3" borderId="28" xfId="3" applyFont="1" applyFill="1" applyBorder="1" applyAlignment="1" applyProtection="1">
      <alignment horizontal="center" vertical="center" wrapText="1"/>
    </xf>
    <xf numFmtId="0" fontId="51" fillId="5" borderId="0" xfId="3" applyFont="1" applyFill="1" applyBorder="1" applyAlignment="1" applyProtection="1">
      <alignment horizontal="center" vertical="center"/>
    </xf>
    <xf numFmtId="0" fontId="35" fillId="5" borderId="0" xfId="3" applyFont="1" applyFill="1" applyBorder="1" applyAlignment="1" applyProtection="1">
      <alignment horizontal="center" vertical="center"/>
    </xf>
    <xf numFmtId="0" fontId="14" fillId="9" borderId="35" xfId="3" applyFont="1" applyFill="1" applyBorder="1" applyAlignment="1" applyProtection="1">
      <alignment horizontal="center" vertical="center"/>
    </xf>
    <xf numFmtId="0" fontId="14" fillId="9" borderId="11" xfId="3" applyFont="1" applyFill="1" applyBorder="1" applyAlignment="1" applyProtection="1">
      <alignment horizontal="center" vertical="center"/>
    </xf>
    <xf numFmtId="0" fontId="14" fillId="9" borderId="36" xfId="3" applyFont="1" applyFill="1" applyBorder="1" applyAlignment="1" applyProtection="1">
      <alignment horizontal="center" vertical="center"/>
    </xf>
    <xf numFmtId="0" fontId="14" fillId="9" borderId="37" xfId="3" applyFont="1" applyFill="1" applyBorder="1" applyAlignment="1" applyProtection="1">
      <alignment horizontal="center" vertical="center"/>
    </xf>
    <xf numFmtId="0" fontId="14" fillId="9" borderId="34" xfId="3" applyFont="1" applyFill="1" applyBorder="1" applyAlignment="1" applyProtection="1">
      <alignment horizontal="center" vertical="center"/>
    </xf>
    <xf numFmtId="0" fontId="14" fillId="9" borderId="38" xfId="3" applyFont="1" applyFill="1" applyBorder="1" applyAlignment="1" applyProtection="1">
      <alignment horizontal="center" vertical="center"/>
    </xf>
    <xf numFmtId="0" fontId="13" fillId="5" borderId="0" xfId="3" applyFont="1" applyFill="1" applyBorder="1" applyAlignment="1" applyProtection="1">
      <alignment horizontal="center" vertical="center"/>
    </xf>
    <xf numFmtId="0" fontId="14" fillId="6" borderId="18" xfId="3" applyFont="1" applyFill="1" applyBorder="1" applyAlignment="1" applyProtection="1">
      <alignment horizontal="center" vertical="center"/>
    </xf>
    <xf numFmtId="0" fontId="14" fillId="6" borderId="2" xfId="3" applyFont="1" applyFill="1" applyBorder="1" applyAlignment="1" applyProtection="1">
      <alignment horizontal="center" vertical="center"/>
    </xf>
    <xf numFmtId="0" fontId="14" fillId="6" borderId="18" xfId="3" applyFont="1" applyFill="1" applyBorder="1" applyAlignment="1" applyProtection="1">
      <alignment horizontal="center" vertical="center" wrapText="1"/>
    </xf>
    <xf numFmtId="0" fontId="14" fillId="6" borderId="2" xfId="3" applyFont="1" applyFill="1" applyBorder="1" applyAlignment="1" applyProtection="1">
      <alignment horizontal="center" vertical="center" wrapText="1"/>
    </xf>
    <xf numFmtId="0" fontId="14" fillId="6" borderId="31" xfId="3" applyFont="1" applyFill="1" applyBorder="1" applyAlignment="1" applyProtection="1">
      <alignment horizontal="center" vertical="center" wrapText="1"/>
    </xf>
    <xf numFmtId="0" fontId="54" fillId="5" borderId="30" xfId="3" applyFont="1" applyFill="1" applyBorder="1" applyAlignment="1" applyProtection="1">
      <alignment horizontal="center"/>
    </xf>
    <xf numFmtId="0" fontId="97" fillId="0" borderId="0" xfId="3" applyFont="1" applyBorder="1" applyAlignment="1" applyProtection="1">
      <alignment horizontal="center"/>
    </xf>
    <xf numFmtId="0" fontId="107" fillId="8" borderId="0" xfId="3" applyFont="1" applyFill="1" applyBorder="1" applyAlignment="1" applyProtection="1">
      <alignment horizontal="center" vertical="center"/>
    </xf>
    <xf numFmtId="0" fontId="97" fillId="8" borderId="0" xfId="3" applyFont="1" applyFill="1" applyBorder="1" applyAlignment="1" applyProtection="1">
      <alignment horizontal="center" vertical="center"/>
    </xf>
    <xf numFmtId="0" fontId="96" fillId="8" borderId="0" xfId="3" applyFont="1" applyFill="1" applyBorder="1" applyAlignment="1" applyProtection="1">
      <alignment horizontal="center" vertical="center"/>
    </xf>
    <xf numFmtId="0" fontId="96" fillId="48" borderId="129" xfId="3" applyFont="1" applyFill="1" applyBorder="1" applyAlignment="1" applyProtection="1">
      <alignment horizontal="center" vertical="center" wrapText="1"/>
    </xf>
    <xf numFmtId="0" fontId="96" fillId="48" borderId="130" xfId="3" applyFont="1" applyFill="1" applyBorder="1" applyAlignment="1" applyProtection="1">
      <alignment horizontal="center" vertical="center" wrapText="1"/>
    </xf>
    <xf numFmtId="0" fontId="97" fillId="0" borderId="0" xfId="3" applyFont="1" applyBorder="1" applyAlignment="1" applyProtection="1">
      <alignment horizontal="right" vertical="center" wrapText="1"/>
    </xf>
    <xf numFmtId="0" fontId="97" fillId="0" borderId="26" xfId="3" applyFont="1" applyBorder="1" applyAlignment="1" applyProtection="1">
      <alignment horizontal="right" vertical="center" wrapText="1"/>
    </xf>
    <xf numFmtId="0" fontId="96" fillId="3" borderId="10" xfId="3" applyFont="1" applyFill="1" applyBorder="1" applyAlignment="1" applyProtection="1">
      <alignment horizontal="center" vertical="center" wrapText="1"/>
    </xf>
    <xf numFmtId="0" fontId="96" fillId="8" borderId="131" xfId="3" applyFont="1" applyFill="1" applyBorder="1" applyAlignment="1" applyProtection="1">
      <alignment horizontal="left" wrapText="1"/>
    </xf>
  </cellXfs>
  <cellStyles count="8">
    <cellStyle name="Moeda" xfId="1" builtinId="4"/>
    <cellStyle name="Moeda_Plan1" xfId="7"/>
    <cellStyle name="Normal" xfId="0" builtinId="0"/>
    <cellStyle name="Normal 2" xfId="3"/>
    <cellStyle name="Normal 4 2" xfId="6"/>
    <cellStyle name="Porcentagem" xfId="2" builtinId="5"/>
    <cellStyle name="Título 2" xfId="4" builtinId="17"/>
    <cellStyle name="Título 3" xfId="5" builtinId="18"/>
  </cellStyles>
  <dxfs count="5">
    <dxf>
      <font>
        <b/>
        <i val="0"/>
        <color rgb="FFFF0000"/>
      </font>
    </dxf>
    <dxf>
      <font>
        <b/>
        <i val="0"/>
        <color rgb="FFFF0000"/>
      </font>
    </dxf>
    <dxf>
      <font>
        <b/>
        <i val="0"/>
        <color rgb="FFFF0000"/>
      </font>
    </dxf>
    <dxf>
      <font>
        <b/>
        <i val="0"/>
        <color rgb="FFFF0000"/>
      </font>
    </dxf>
    <dxf>
      <fill>
        <patternFill>
          <bgColor rgb="FFFF0000"/>
        </patternFill>
      </fill>
    </dxf>
  </dxfs>
  <tableStyles count="0" defaultTableStyle="TableStyleMedium9" defaultPivotStyle="PivotStyleLight16"/>
  <colors>
    <mruColors>
      <color rgb="FFBEFEBE"/>
      <color rgb="FFCAFED8"/>
      <color rgb="FFDDE8FF"/>
      <color rgb="FF31831B"/>
      <color rgb="FFF6FEA8"/>
      <color rgb="FFEFFEBE"/>
      <color rgb="FFFEFCD6"/>
      <color rgb="FFF9FEBE"/>
      <color rgb="FFF2DCDE"/>
      <color rgb="FFFEF6D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rives%20compartilhados/SACCON/01_PADs/01_DEMO/01_EM%20PLANEJAMENTO/2022_32468%20-%20ENGENHARIA/Documentos%2029nov2023/Anexo%20II%20-%20Planilha%20Or&#231;ament&#225;ria%20Estimativa.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rives%20compartilhados/SACCON/01_PADs/01_DEMO/01_EM%20PLANEJAMENTO/2023_14148%20-%20ALMOXARIFES/Planilha%202023_14148%20-%20Estimativa%20TRE-PR_ABRIL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dos Cadastrais e Resumo"/>
      <sheetName val="Postos de Engenheiro"/>
      <sheetName val="Postos de Tec. de Edificacoes"/>
      <sheetName val="Encargos e Provisões"/>
      <sheetName val="CITL"/>
      <sheetName val="Insumos"/>
      <sheetName val="Hora Suplementar"/>
    </sheetNames>
    <sheetDataSet>
      <sheetData sheetId="0"/>
      <sheetData sheetId="1" refreshError="1"/>
      <sheetData sheetId="2" refreshError="1"/>
      <sheetData sheetId="3" refreshError="1"/>
      <sheetData sheetId="4">
        <row r="17">
          <cell r="F17">
            <v>0.35</v>
          </cell>
        </row>
      </sheetData>
      <sheetData sheetId="5" refreshError="1"/>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STOS"/>
      <sheetName val="RESUMO POR SECRETARIA"/>
      <sheetName val="ENCARGOS e PROVISOES"/>
      <sheetName val="MOD ENC PRORR CTRAB INDETERM"/>
      <sheetName val="CITL"/>
      <sheetName val="EQUIPAMENTOS"/>
      <sheetName val="INSUMOS"/>
      <sheetName val="HORA SUPLEMENTAR"/>
      <sheetName val="CALCULO DESCONTO"/>
    </sheetNames>
    <sheetDataSet>
      <sheetData sheetId="0"/>
      <sheetData sheetId="1"/>
      <sheetData sheetId="2"/>
      <sheetData sheetId="3"/>
      <sheetData sheetId="4">
        <row r="17">
          <cell r="F17">
            <v>0.35</v>
          </cell>
        </row>
      </sheetData>
      <sheetData sheetId="5"/>
      <sheetData sheetId="6"/>
      <sheetData sheetId="7"/>
      <sheetData sheetId="8"/>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62"/>
  <sheetViews>
    <sheetView showGridLines="0" tabSelected="1" view="pageBreakPreview" zoomScale="60" zoomScaleNormal="50" workbookViewId="0">
      <selection activeCell="T35" sqref="T35"/>
    </sheetView>
  </sheetViews>
  <sheetFormatPr defaultRowHeight="15" x14ac:dyDescent="0.25"/>
  <cols>
    <col min="1" max="1" width="10.7109375" style="122" customWidth="1"/>
    <col min="2" max="2" width="28.7109375" style="122" customWidth="1"/>
    <col min="3" max="4" width="15.7109375" style="122" customWidth="1"/>
    <col min="5" max="17" width="18.7109375" style="122" customWidth="1"/>
    <col min="18" max="21" width="15.7109375" style="122" customWidth="1"/>
    <col min="22" max="23" width="18.7109375" style="122" customWidth="1"/>
    <col min="24" max="25" width="16.7109375" style="122" customWidth="1"/>
    <col min="26" max="26" width="19.7109375" style="122" customWidth="1"/>
    <col min="27" max="30" width="16.7109375" style="122" customWidth="1"/>
    <col min="31" max="31" width="18.7109375" style="122" customWidth="1"/>
    <col min="32" max="32" width="17.7109375" style="122" customWidth="1"/>
    <col min="33" max="33" width="20.7109375" style="122" customWidth="1"/>
    <col min="34" max="16384" width="9.140625" style="122"/>
  </cols>
  <sheetData>
    <row r="1" spans="1:38" ht="21.95" customHeight="1" x14ac:dyDescent="0.25">
      <c r="A1" s="721" t="s">
        <v>60</v>
      </c>
      <c r="B1" s="721"/>
      <c r="C1" s="721"/>
      <c r="D1" s="721"/>
      <c r="E1" s="721"/>
      <c r="F1" s="721"/>
      <c r="G1" s="721"/>
      <c r="H1" s="721"/>
      <c r="I1" s="721"/>
      <c r="J1" s="721"/>
      <c r="K1" s="721"/>
      <c r="L1" s="721"/>
      <c r="M1" s="721"/>
      <c r="N1" s="721"/>
      <c r="O1" s="721"/>
      <c r="P1" s="721"/>
      <c r="Q1" s="721"/>
      <c r="R1" s="721"/>
      <c r="S1" s="721"/>
      <c r="T1" s="721"/>
      <c r="U1" s="721"/>
      <c r="V1" s="721"/>
      <c r="W1" s="721"/>
      <c r="X1" s="370"/>
      <c r="Y1" s="370"/>
      <c r="Z1" s="370"/>
      <c r="AA1" s="370"/>
      <c r="AB1" s="370"/>
      <c r="AC1" s="370"/>
      <c r="AD1" s="370"/>
      <c r="AE1" s="370"/>
      <c r="AF1" s="370"/>
      <c r="AG1" s="370"/>
    </row>
    <row r="2" spans="1:38" ht="21.95" customHeight="1" x14ac:dyDescent="0.25">
      <c r="A2" s="722" t="s">
        <v>447</v>
      </c>
      <c r="B2" s="722"/>
      <c r="C2" s="722"/>
      <c r="D2" s="722"/>
      <c r="E2" s="722"/>
      <c r="F2" s="722"/>
      <c r="G2" s="722"/>
      <c r="H2" s="722"/>
      <c r="I2" s="722"/>
      <c r="J2" s="722"/>
      <c r="K2" s="722"/>
      <c r="L2" s="722"/>
      <c r="M2" s="722"/>
      <c r="N2" s="722"/>
      <c r="O2" s="722"/>
      <c r="P2" s="722"/>
      <c r="Q2" s="722"/>
      <c r="R2" s="722"/>
      <c r="S2" s="722"/>
      <c r="T2" s="722"/>
      <c r="U2" s="722"/>
      <c r="V2" s="722"/>
      <c r="W2" s="722"/>
      <c r="X2" s="241"/>
      <c r="Y2" s="241"/>
      <c r="Z2" s="241"/>
      <c r="AA2" s="241"/>
      <c r="AB2" s="241"/>
      <c r="AC2" s="241"/>
      <c r="AD2" s="241"/>
      <c r="AE2" s="241"/>
      <c r="AF2" s="241"/>
      <c r="AG2" s="241"/>
    </row>
    <row r="3" spans="1:38" ht="21.95" customHeight="1" x14ac:dyDescent="0.25">
      <c r="A3" s="723" t="s">
        <v>254</v>
      </c>
      <c r="B3" s="723"/>
      <c r="C3" s="723"/>
      <c r="D3" s="723"/>
      <c r="E3" s="723"/>
      <c r="F3" s="723"/>
      <c r="G3" s="723"/>
      <c r="H3" s="723"/>
      <c r="I3" s="723"/>
      <c r="J3" s="723"/>
      <c r="K3" s="723"/>
      <c r="L3" s="723"/>
      <c r="M3" s="723"/>
      <c r="N3" s="723"/>
      <c r="O3" s="723"/>
      <c r="P3" s="723"/>
      <c r="Q3" s="723"/>
      <c r="R3" s="723"/>
      <c r="S3" s="723"/>
      <c r="T3" s="723"/>
      <c r="U3" s="723"/>
      <c r="V3" s="723"/>
      <c r="W3" s="723"/>
      <c r="X3" s="241"/>
      <c r="Y3" s="241"/>
      <c r="Z3" s="241"/>
      <c r="AA3" s="241"/>
      <c r="AB3" s="241"/>
      <c r="AC3" s="241"/>
      <c r="AD3" s="241"/>
      <c r="AE3" s="241"/>
      <c r="AF3" s="241"/>
      <c r="AG3" s="241"/>
    </row>
    <row r="4" spans="1:38" ht="20.100000000000001" customHeight="1" x14ac:dyDescent="0.25">
      <c r="A4" s="724"/>
      <c r="B4" s="724"/>
      <c r="C4" s="724"/>
      <c r="D4" s="724"/>
      <c r="E4" s="724"/>
      <c r="F4" s="724"/>
      <c r="G4" s="724"/>
      <c r="H4" s="724"/>
      <c r="I4" s="724"/>
      <c r="J4" s="724"/>
      <c r="K4" s="724"/>
      <c r="L4" s="724"/>
      <c r="M4" s="724"/>
      <c r="N4" s="724"/>
      <c r="O4" s="724"/>
      <c r="P4" s="724"/>
      <c r="Q4" s="724"/>
      <c r="R4" s="724"/>
      <c r="S4" s="724"/>
      <c r="T4" s="724"/>
      <c r="U4" s="724"/>
      <c r="V4" s="724"/>
      <c r="W4" s="724"/>
      <c r="X4" s="241"/>
      <c r="Y4" s="241"/>
      <c r="Z4" s="241"/>
      <c r="AA4" s="241"/>
      <c r="AB4" s="241"/>
      <c r="AC4" s="241"/>
      <c r="AD4" s="241"/>
      <c r="AE4" s="241"/>
      <c r="AF4" s="241"/>
      <c r="AG4" s="241"/>
    </row>
    <row r="5" spans="1:38" ht="15.95" customHeight="1" x14ac:dyDescent="0.25">
      <c r="A5" s="225"/>
      <c r="B5" s="363"/>
      <c r="C5" s="364"/>
      <c r="D5" s="362"/>
      <c r="E5" s="225"/>
      <c r="F5" s="225"/>
      <c r="G5" s="225"/>
      <c r="J5" s="590"/>
      <c r="K5" s="590"/>
      <c r="L5" s="590"/>
      <c r="N5" s="590" t="s">
        <v>77</v>
      </c>
      <c r="O5" s="227" t="s">
        <v>427</v>
      </c>
      <c r="P5" s="225"/>
      <c r="Q5" s="225"/>
      <c r="R5" s="225"/>
      <c r="S5" s="225"/>
      <c r="T5" s="225"/>
      <c r="U5" s="225"/>
      <c r="V5" s="225"/>
      <c r="W5" s="225"/>
      <c r="X5" s="225"/>
      <c r="Y5" s="225"/>
      <c r="Z5" s="225"/>
      <c r="AA5" s="225"/>
      <c r="AB5" s="225"/>
      <c r="AC5" s="225"/>
      <c r="AD5" s="225"/>
    </row>
    <row r="6" spans="1:38" ht="15.95" customHeight="1" x14ac:dyDescent="0.25">
      <c r="A6" s="225"/>
      <c r="B6" s="226"/>
      <c r="C6" s="226"/>
      <c r="D6" s="226"/>
      <c r="E6" s="225"/>
      <c r="F6" s="225"/>
      <c r="G6" s="225"/>
      <c r="J6" s="590"/>
      <c r="K6" s="590"/>
      <c r="L6" s="590"/>
      <c r="N6" s="590" t="s">
        <v>70</v>
      </c>
      <c r="O6" s="614"/>
      <c r="P6" s="225"/>
      <c r="Q6" s="225"/>
      <c r="R6" s="225"/>
      <c r="S6" s="225"/>
      <c r="T6" s="225"/>
      <c r="U6" s="225"/>
      <c r="V6" s="225"/>
      <c r="W6" s="225"/>
      <c r="X6" s="225"/>
      <c r="Y6" s="225"/>
      <c r="Z6" s="225"/>
      <c r="AA6" s="225"/>
      <c r="AB6" s="225"/>
      <c r="AC6" s="225"/>
      <c r="AD6" s="225"/>
    </row>
    <row r="7" spans="1:38" ht="15.95" customHeight="1" x14ac:dyDescent="0.25">
      <c r="A7" s="225"/>
      <c r="B7" s="226"/>
      <c r="C7" s="226"/>
      <c r="D7" s="226"/>
      <c r="H7" s="228"/>
      <c r="J7" s="306"/>
      <c r="K7" s="306"/>
      <c r="L7" s="306"/>
      <c r="N7" s="229" t="s">
        <v>32</v>
      </c>
      <c r="O7" s="615"/>
      <c r="P7" s="225"/>
      <c r="Q7" s="225"/>
      <c r="R7" s="225"/>
      <c r="S7" s="225"/>
      <c r="T7" s="225"/>
      <c r="U7" s="225"/>
      <c r="V7" s="225"/>
      <c r="W7" s="225"/>
      <c r="X7" s="225"/>
      <c r="Y7" s="225"/>
      <c r="Z7" s="225"/>
      <c r="AA7" s="225"/>
      <c r="AB7" s="225"/>
      <c r="AC7" s="225"/>
      <c r="AD7" s="225"/>
    </row>
    <row r="8" spans="1:38" ht="15.95" customHeight="1" x14ac:dyDescent="0.25">
      <c r="A8" s="226"/>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row>
    <row r="9" spans="1:38" s="250" customFormat="1" ht="20.100000000000001" customHeight="1" x14ac:dyDescent="0.2">
      <c r="A9" s="725" t="s">
        <v>71</v>
      </c>
      <c r="B9" s="726"/>
      <c r="C9" s="726"/>
      <c r="D9" s="726"/>
      <c r="E9" s="726"/>
      <c r="F9" s="726"/>
      <c r="G9" s="726"/>
      <c r="H9" s="726"/>
      <c r="I9" s="726"/>
      <c r="J9" s="726"/>
      <c r="K9" s="726"/>
      <c r="L9" s="726"/>
      <c r="M9" s="726"/>
      <c r="N9" s="726"/>
      <c r="O9" s="726"/>
      <c r="P9" s="726"/>
      <c r="Q9" s="726"/>
      <c r="R9" s="726"/>
      <c r="S9" s="726"/>
      <c r="T9" s="726"/>
      <c r="U9" s="726"/>
      <c r="V9" s="726"/>
      <c r="W9" s="727"/>
      <c r="X9" s="249"/>
      <c r="Y9" s="249"/>
      <c r="Z9" s="249"/>
      <c r="AA9" s="249"/>
      <c r="AB9" s="249"/>
      <c r="AC9" s="249"/>
      <c r="AD9" s="249"/>
      <c r="AE9" s="249"/>
      <c r="AF9" s="249"/>
      <c r="AG9" s="249"/>
    </row>
    <row r="10" spans="1:38" s="250" customFormat="1" ht="20.100000000000001" customHeight="1" x14ac:dyDescent="0.2">
      <c r="A10" s="728" t="s">
        <v>72</v>
      </c>
      <c r="B10" s="729"/>
      <c r="C10" s="729"/>
      <c r="D10" s="729"/>
      <c r="E10" s="729"/>
      <c r="F10" s="729"/>
      <c r="G10" s="729"/>
      <c r="H10" s="729"/>
      <c r="I10" s="729"/>
      <c r="J10" s="729"/>
      <c r="K10" s="729"/>
      <c r="L10" s="729"/>
      <c r="M10" s="729"/>
      <c r="N10" s="729"/>
      <c r="O10" s="729"/>
      <c r="P10" s="729"/>
      <c r="Q10" s="729"/>
      <c r="R10" s="729"/>
      <c r="S10" s="729"/>
      <c r="T10" s="729"/>
      <c r="U10" s="729"/>
      <c r="V10" s="729"/>
      <c r="W10" s="730"/>
      <c r="X10" s="249"/>
      <c r="Y10" s="249"/>
      <c r="Z10" s="249"/>
      <c r="AA10" s="249"/>
      <c r="AB10" s="249"/>
      <c r="AC10" s="249"/>
      <c r="AD10" s="249"/>
      <c r="AE10" s="249"/>
      <c r="AF10" s="249"/>
      <c r="AG10" s="249"/>
    </row>
    <row r="11" spans="1:38" s="250" customFormat="1" ht="20.100000000000001" customHeight="1" x14ac:dyDescent="0.2">
      <c r="A11" s="665" t="s">
        <v>448</v>
      </c>
      <c r="B11" s="665"/>
      <c r="C11" s="665"/>
      <c r="D11" s="665"/>
      <c r="E11" s="665"/>
      <c r="F11" s="665"/>
      <c r="G11" s="666"/>
      <c r="H11" s="666"/>
      <c r="I11" s="666"/>
      <c r="J11" s="666"/>
      <c r="K11" s="666"/>
      <c r="L11" s="666"/>
      <c r="M11" s="666"/>
      <c r="N11" s="666"/>
      <c r="O11" s="666"/>
      <c r="P11" s="666"/>
      <c r="Q11" s="666"/>
      <c r="R11" s="666"/>
      <c r="S11" s="666"/>
      <c r="T11" s="666"/>
      <c r="U11" s="666"/>
      <c r="V11" s="666"/>
      <c r="W11" s="666"/>
      <c r="X11" s="249"/>
      <c r="Y11" s="249"/>
      <c r="Z11" s="249"/>
      <c r="AA11" s="249"/>
      <c r="AB11" s="249"/>
      <c r="AC11" s="249"/>
      <c r="AD11" s="249"/>
      <c r="AE11" s="249"/>
      <c r="AF11" s="249"/>
      <c r="AG11" s="249"/>
    </row>
    <row r="12" spans="1:38" s="250" customFormat="1" ht="20.100000000000001" customHeight="1" x14ac:dyDescent="0.2">
      <c r="A12" s="665" t="s">
        <v>449</v>
      </c>
      <c r="B12" s="665"/>
      <c r="C12" s="665"/>
      <c r="D12" s="665"/>
      <c r="E12" s="665"/>
      <c r="F12" s="665"/>
      <c r="G12" s="666"/>
      <c r="H12" s="666"/>
      <c r="I12" s="666"/>
      <c r="J12" s="666"/>
      <c r="K12" s="666"/>
      <c r="L12" s="666"/>
      <c r="M12" s="666"/>
      <c r="N12" s="666"/>
      <c r="O12" s="666"/>
      <c r="P12" s="666"/>
      <c r="Q12" s="666"/>
      <c r="R12" s="666"/>
      <c r="S12" s="666"/>
      <c r="T12" s="666"/>
      <c r="U12" s="666"/>
      <c r="V12" s="666"/>
      <c r="W12" s="666"/>
      <c r="X12" s="249"/>
      <c r="Y12" s="249"/>
      <c r="Z12" s="249"/>
      <c r="AA12" s="249"/>
      <c r="AB12" s="249"/>
      <c r="AC12" s="249"/>
      <c r="AD12" s="249"/>
      <c r="AE12" s="249"/>
      <c r="AF12" s="249"/>
      <c r="AG12" s="249"/>
    </row>
    <row r="13" spans="1:38" s="250" customFormat="1" ht="20.100000000000001" customHeight="1" x14ac:dyDescent="0.2">
      <c r="A13" s="665" t="s">
        <v>450</v>
      </c>
      <c r="B13" s="665"/>
      <c r="C13" s="665"/>
      <c r="D13" s="665"/>
      <c r="E13" s="665"/>
      <c r="F13" s="665"/>
      <c r="G13" s="666"/>
      <c r="H13" s="666"/>
      <c r="I13" s="666"/>
      <c r="J13" s="666"/>
      <c r="K13" s="666"/>
      <c r="L13" s="666"/>
      <c r="M13" s="666"/>
      <c r="N13" s="666"/>
      <c r="O13" s="666"/>
      <c r="P13" s="666"/>
      <c r="Q13" s="666"/>
      <c r="R13" s="666"/>
      <c r="S13" s="666"/>
      <c r="T13" s="666"/>
      <c r="U13" s="666"/>
      <c r="V13" s="666"/>
      <c r="W13" s="666"/>
      <c r="X13" s="249"/>
      <c r="Y13" s="249"/>
      <c r="Z13" s="249"/>
      <c r="AA13" s="249"/>
      <c r="AB13" s="249"/>
      <c r="AC13" s="249"/>
      <c r="AD13" s="249"/>
      <c r="AE13" s="249"/>
      <c r="AF13" s="249"/>
      <c r="AG13" s="249"/>
    </row>
    <row r="14" spans="1:38" s="250" customFormat="1" ht="20.100000000000001" customHeight="1" x14ac:dyDescent="0.2">
      <c r="A14" s="665" t="s">
        <v>451</v>
      </c>
      <c r="B14" s="665"/>
      <c r="C14" s="665"/>
      <c r="D14" s="665"/>
      <c r="E14" s="665"/>
      <c r="F14" s="665"/>
      <c r="G14" s="666"/>
      <c r="H14" s="666"/>
      <c r="I14" s="666"/>
      <c r="J14" s="666"/>
      <c r="K14" s="666"/>
      <c r="L14" s="666"/>
      <c r="M14" s="666"/>
      <c r="N14" s="666"/>
      <c r="O14" s="666"/>
      <c r="P14" s="666"/>
      <c r="Q14" s="666"/>
      <c r="R14" s="666"/>
      <c r="S14" s="666"/>
      <c r="T14" s="666"/>
      <c r="U14" s="666"/>
      <c r="V14" s="666"/>
      <c r="W14" s="666"/>
      <c r="X14" s="249"/>
      <c r="Y14" s="249"/>
      <c r="Z14" s="249"/>
      <c r="AA14" s="249"/>
      <c r="AB14" s="249"/>
      <c r="AC14" s="249"/>
      <c r="AD14" s="249"/>
      <c r="AE14" s="249"/>
      <c r="AF14" s="249"/>
      <c r="AG14" s="249"/>
    </row>
    <row r="15" spans="1:38" s="588" customFormat="1" ht="30" customHeight="1" thickBot="1" x14ac:dyDescent="0.3">
      <c r="A15" s="749" t="s">
        <v>282</v>
      </c>
      <c r="B15" s="749"/>
      <c r="C15" s="749"/>
      <c r="D15" s="749"/>
      <c r="E15" s="749"/>
      <c r="F15" s="749"/>
      <c r="G15" s="749"/>
      <c r="H15" s="749"/>
      <c r="I15" s="749"/>
      <c r="J15" s="749"/>
      <c r="K15" s="749"/>
      <c r="L15" s="749"/>
      <c r="M15" s="749"/>
      <c r="N15" s="749"/>
      <c r="O15" s="749"/>
      <c r="P15" s="124"/>
      <c r="Q15" s="124"/>
      <c r="R15" s="124"/>
      <c r="S15" s="124"/>
      <c r="T15" s="124"/>
      <c r="U15" s="124"/>
      <c r="V15" s="124"/>
      <c r="W15" s="124"/>
      <c r="X15" s="124"/>
      <c r="Y15" s="124"/>
      <c r="Z15" s="124"/>
      <c r="AA15" s="124"/>
      <c r="AB15" s="124"/>
      <c r="AC15" s="125"/>
      <c r="AD15" s="126"/>
      <c r="AE15" s="126"/>
      <c r="AF15" s="126"/>
      <c r="AG15" s="126"/>
      <c r="AH15" s="126"/>
      <c r="AI15" s="126"/>
      <c r="AJ15" s="126"/>
      <c r="AK15" s="126"/>
      <c r="AL15" s="126"/>
    </row>
    <row r="16" spans="1:38" ht="15" customHeight="1" thickTop="1" x14ac:dyDescent="0.25">
      <c r="A16" s="750" t="s">
        <v>326</v>
      </c>
      <c r="B16" s="753" t="s">
        <v>190</v>
      </c>
      <c r="C16" s="756" t="s">
        <v>183</v>
      </c>
      <c r="D16" s="667" t="s">
        <v>73</v>
      </c>
      <c r="E16" s="719" t="s">
        <v>9</v>
      </c>
      <c r="F16" s="708"/>
      <c r="G16" s="708"/>
      <c r="H16" s="720"/>
      <c r="I16" s="756" t="s">
        <v>9</v>
      </c>
      <c r="J16" s="707" t="s">
        <v>10</v>
      </c>
      <c r="K16" s="708"/>
      <c r="L16" s="709"/>
      <c r="M16" s="709"/>
      <c r="N16" s="709"/>
      <c r="O16" s="710"/>
      <c r="P16" s="731" t="s">
        <v>10</v>
      </c>
      <c r="Q16" s="672" t="s">
        <v>258</v>
      </c>
      <c r="R16" s="670" t="s">
        <v>224</v>
      </c>
      <c r="S16" s="671"/>
      <c r="T16" s="671"/>
      <c r="U16" s="671"/>
      <c r="V16" s="667" t="s">
        <v>224</v>
      </c>
      <c r="W16" s="667" t="s">
        <v>260</v>
      </c>
    </row>
    <row r="17" spans="1:38" ht="30" customHeight="1" x14ac:dyDescent="0.25">
      <c r="A17" s="751"/>
      <c r="B17" s="754"/>
      <c r="C17" s="757"/>
      <c r="D17" s="668"/>
      <c r="E17" s="711" t="s">
        <v>11</v>
      </c>
      <c r="F17" s="714" t="s">
        <v>253</v>
      </c>
      <c r="G17" s="714" t="s">
        <v>5</v>
      </c>
      <c r="H17" s="714" t="s">
        <v>12</v>
      </c>
      <c r="I17" s="760"/>
      <c r="J17" s="253" t="s">
        <v>255</v>
      </c>
      <c r="K17" s="483" t="s">
        <v>189</v>
      </c>
      <c r="L17" s="717" t="s">
        <v>317</v>
      </c>
      <c r="M17" s="717" t="s">
        <v>317</v>
      </c>
      <c r="N17" s="717" t="s">
        <v>317</v>
      </c>
      <c r="O17" s="718" t="s">
        <v>317</v>
      </c>
      <c r="P17" s="732"/>
      <c r="Q17" s="673"/>
      <c r="R17" s="675" t="s">
        <v>257</v>
      </c>
      <c r="S17" s="676"/>
      <c r="T17" s="676"/>
      <c r="U17" s="676"/>
      <c r="V17" s="734"/>
      <c r="W17" s="668"/>
      <c r="Y17" s="322"/>
    </row>
    <row r="18" spans="1:38" ht="15" customHeight="1" x14ac:dyDescent="0.25">
      <c r="A18" s="751"/>
      <c r="B18" s="754"/>
      <c r="C18" s="757"/>
      <c r="D18" s="668"/>
      <c r="E18" s="712"/>
      <c r="F18" s="715"/>
      <c r="G18" s="715"/>
      <c r="H18" s="715"/>
      <c r="I18" s="760"/>
      <c r="J18" s="253" t="s">
        <v>383</v>
      </c>
      <c r="K18" s="483" t="s">
        <v>256</v>
      </c>
      <c r="L18" s="717"/>
      <c r="M18" s="717"/>
      <c r="N18" s="717"/>
      <c r="O18" s="718"/>
      <c r="P18" s="732"/>
      <c r="Q18" s="673"/>
      <c r="R18" s="677" t="s">
        <v>307</v>
      </c>
      <c r="S18" s="680" t="s">
        <v>306</v>
      </c>
      <c r="T18" s="680"/>
      <c r="U18" s="681"/>
      <c r="V18" s="734"/>
      <c r="W18" s="668"/>
      <c r="X18" s="163"/>
    </row>
    <row r="19" spans="1:38" ht="15" customHeight="1" x14ac:dyDescent="0.25">
      <c r="A19" s="751"/>
      <c r="B19" s="754"/>
      <c r="C19" s="757"/>
      <c r="D19" s="668"/>
      <c r="E19" s="712"/>
      <c r="F19" s="715"/>
      <c r="G19" s="715"/>
      <c r="H19" s="715"/>
      <c r="I19" s="760"/>
      <c r="J19" s="620">
        <v>0</v>
      </c>
      <c r="K19" s="621">
        <v>0</v>
      </c>
      <c r="L19" s="717"/>
      <c r="M19" s="717"/>
      <c r="N19" s="717"/>
      <c r="O19" s="718"/>
      <c r="P19" s="732"/>
      <c r="Q19" s="673"/>
      <c r="R19" s="678"/>
      <c r="S19" s="677" t="s">
        <v>437</v>
      </c>
      <c r="T19" s="746" t="s">
        <v>305</v>
      </c>
      <c r="U19" s="677" t="s">
        <v>259</v>
      </c>
      <c r="V19" s="734"/>
      <c r="W19" s="668"/>
    </row>
    <row r="20" spans="1:38" ht="15" customHeight="1" x14ac:dyDescent="0.25">
      <c r="A20" s="751"/>
      <c r="B20" s="754"/>
      <c r="C20" s="757"/>
      <c r="D20" s="759"/>
      <c r="E20" s="712"/>
      <c r="F20" s="715"/>
      <c r="G20" s="715"/>
      <c r="H20" s="716"/>
      <c r="I20" s="760"/>
      <c r="J20" s="253" t="s">
        <v>384</v>
      </c>
      <c r="K20" s="483" t="s">
        <v>64</v>
      </c>
      <c r="L20" s="717"/>
      <c r="M20" s="717"/>
      <c r="N20" s="717"/>
      <c r="O20" s="718"/>
      <c r="P20" s="732"/>
      <c r="Q20" s="674"/>
      <c r="R20" s="678"/>
      <c r="S20" s="678"/>
      <c r="T20" s="747"/>
      <c r="U20" s="678"/>
      <c r="V20" s="734"/>
      <c r="W20" s="668"/>
    </row>
    <row r="21" spans="1:38" ht="15" customHeight="1" x14ac:dyDescent="0.25">
      <c r="A21" s="752"/>
      <c r="B21" s="755"/>
      <c r="C21" s="758"/>
      <c r="D21" s="247" t="s">
        <v>74</v>
      </c>
      <c r="E21" s="713"/>
      <c r="F21" s="320">
        <v>0.1</v>
      </c>
      <c r="G21" s="716"/>
      <c r="H21" s="144">
        <f>'ENCARGOS e PROVISOES'!F90/100</f>
        <v>0.11109999999999999</v>
      </c>
      <c r="I21" s="761"/>
      <c r="J21" s="623">
        <v>0</v>
      </c>
      <c r="K21" s="622">
        <v>0</v>
      </c>
      <c r="L21" s="657">
        <v>0</v>
      </c>
      <c r="M21" s="617">
        <v>0</v>
      </c>
      <c r="N21" s="618">
        <v>0</v>
      </c>
      <c r="O21" s="619">
        <v>0</v>
      </c>
      <c r="P21" s="733"/>
      <c r="Q21" s="145">
        <f>CITL!F17</f>
        <v>0</v>
      </c>
      <c r="R21" s="679"/>
      <c r="S21" s="679"/>
      <c r="T21" s="748"/>
      <c r="U21" s="679"/>
      <c r="V21" s="735"/>
      <c r="W21" s="669"/>
    </row>
    <row r="22" spans="1:38" ht="30" customHeight="1" x14ac:dyDescent="0.25">
      <c r="A22" s="146">
        <v>1</v>
      </c>
      <c r="B22" s="147" t="s">
        <v>222</v>
      </c>
      <c r="C22" s="148" t="s">
        <v>220</v>
      </c>
      <c r="D22" s="148">
        <v>44</v>
      </c>
      <c r="E22" s="616"/>
      <c r="F22" s="319">
        <f>ROUND(E22*$F$21,2)</f>
        <v>0</v>
      </c>
      <c r="G22" s="319">
        <f>ROUND(E22+F22,2)</f>
        <v>0</v>
      </c>
      <c r="H22" s="149">
        <f>ROUND(IF(G22&lt;&gt;0,(G22)*$H$21,0),2)</f>
        <v>0</v>
      </c>
      <c r="I22" s="150">
        <f>SUM(G22:H22)</f>
        <v>0</v>
      </c>
      <c r="J22" s="254">
        <f>ROUND((IF((E22&gt;0),($J$19*21)-(($J$19*21)*$J$21),0)),2)</f>
        <v>0</v>
      </c>
      <c r="K22" s="558">
        <f>ROUND((IF(E22&gt;0,MAX(($K$19*(25.32*$K$21))-(6%*(E22)),0),0)),2)</f>
        <v>0</v>
      </c>
      <c r="L22" s="151">
        <f>IF(E22&gt;0,$L$21,0)</f>
        <v>0</v>
      </c>
      <c r="M22" s="151">
        <f>IF(E22&gt;0,$M$21,0)</f>
        <v>0</v>
      </c>
      <c r="N22" s="485">
        <f>IF(E22&gt;0,$N$21,0)</f>
        <v>0</v>
      </c>
      <c r="O22" s="255">
        <f>IF(E22&gt;0,$O$21,0)</f>
        <v>0</v>
      </c>
      <c r="P22" s="152">
        <f>ROUND(SUM(J22:O22),2)</f>
        <v>0</v>
      </c>
      <c r="Q22" s="153">
        <f>ROUND((I22+P22)*$Q$21,2)</f>
        <v>0</v>
      </c>
      <c r="R22" s="369" t="s">
        <v>228</v>
      </c>
      <c r="S22" s="369" t="s">
        <v>228</v>
      </c>
      <c r="T22" s="369">
        <f>INSUMOS!J52</f>
        <v>0</v>
      </c>
      <c r="U22" s="369">
        <f>INSUMOS!$J$66</f>
        <v>0</v>
      </c>
      <c r="V22" s="152">
        <f>SUM(R22:U22)</f>
        <v>0</v>
      </c>
      <c r="W22" s="153">
        <f>I22+P22+Q22+V22</f>
        <v>0</v>
      </c>
      <c r="X22" s="163"/>
      <c r="Y22" s="322"/>
    </row>
    <row r="23" spans="1:38" ht="30" customHeight="1" x14ac:dyDescent="0.25">
      <c r="A23" s="366">
        <v>2</v>
      </c>
      <c r="B23" s="591" t="s">
        <v>314</v>
      </c>
      <c r="C23" s="252" t="s">
        <v>221</v>
      </c>
      <c r="D23" s="252">
        <v>44</v>
      </c>
      <c r="E23" s="616"/>
      <c r="F23" s="319">
        <f>ROUND(E23*$F$21,2)</f>
        <v>0</v>
      </c>
      <c r="G23" s="319">
        <f t="shared" ref="G23" si="0">ROUND(E23+F23,2)</f>
        <v>0</v>
      </c>
      <c r="H23" s="149">
        <f t="shared" ref="H23:H24" si="1">ROUND(IF(G23&lt;&gt;0,(G23)*$H$21,0),2)</f>
        <v>0</v>
      </c>
      <c r="I23" s="150">
        <f t="shared" ref="I23:I24" si="2">SUM(G23:H23)</f>
        <v>0</v>
      </c>
      <c r="J23" s="254">
        <f t="shared" ref="J23:J24" si="3">ROUND((IF((E23&gt;0),($J$19*21)-(($J$19*21)*$J$21),0)),2)</f>
        <v>0</v>
      </c>
      <c r="K23" s="558">
        <f>ROUND((IF(E23&gt;0,MAX(($K$19*(25.32*$K$21))-(6%*(E23)),0),0)),2)</f>
        <v>0</v>
      </c>
      <c r="L23" s="151">
        <f>IF(E23&gt;0,$L$21,0)</f>
        <v>0</v>
      </c>
      <c r="M23" s="151">
        <f>IF(E23&gt;0,$M$21,0)</f>
        <v>0</v>
      </c>
      <c r="N23" s="485">
        <f>IF(E23&gt;0,$N$21,0)</f>
        <v>0</v>
      </c>
      <c r="O23" s="255">
        <f>IF(E23&gt;0,$O$21,0)</f>
        <v>0</v>
      </c>
      <c r="P23" s="152">
        <f>ROUND(SUM(J23:O23),2)</f>
        <v>0</v>
      </c>
      <c r="Q23" s="153">
        <f>ROUND((I23+P23)*$Q$21,2)</f>
        <v>0</v>
      </c>
      <c r="R23" s="369" t="s">
        <v>228</v>
      </c>
      <c r="S23" s="369" t="s">
        <v>228</v>
      </c>
      <c r="T23" s="369">
        <f>INSUMOS!J52</f>
        <v>0</v>
      </c>
      <c r="U23" s="369">
        <f>INSUMOS!$J$66</f>
        <v>0</v>
      </c>
      <c r="V23" s="152">
        <f>SUM(R23:U23)</f>
        <v>0</v>
      </c>
      <c r="W23" s="153">
        <f>I23+P23+Q23+V23</f>
        <v>0</v>
      </c>
      <c r="X23" s="321"/>
      <c r="Y23" s="163"/>
    </row>
    <row r="24" spans="1:38" ht="30" customHeight="1" x14ac:dyDescent="0.25">
      <c r="A24" s="146">
        <v>3</v>
      </c>
      <c r="B24" s="147" t="s">
        <v>280</v>
      </c>
      <c r="C24" s="148" t="s">
        <v>281</v>
      </c>
      <c r="D24" s="148">
        <v>44</v>
      </c>
      <c r="E24" s="616"/>
      <c r="F24" s="323" t="s">
        <v>228</v>
      </c>
      <c r="G24" s="319">
        <f>E24</f>
        <v>0</v>
      </c>
      <c r="H24" s="149">
        <f t="shared" si="1"/>
        <v>0</v>
      </c>
      <c r="I24" s="150">
        <f t="shared" si="2"/>
        <v>0</v>
      </c>
      <c r="J24" s="254">
        <f t="shared" si="3"/>
        <v>0</v>
      </c>
      <c r="K24" s="251">
        <f>ROUND((IF(E24&gt;0,MAX(($K$19*(25.32*$K$21))-(6%*(E24)),0),0)),2)</f>
        <v>0</v>
      </c>
      <c r="L24" s="151">
        <f>IF(E24&gt;0,$L$21,0)</f>
        <v>0</v>
      </c>
      <c r="M24" s="151">
        <f>IF(E24&gt;0,$M$21,0)</f>
        <v>0</v>
      </c>
      <c r="N24" s="485">
        <f>IF(E24&gt;0,$N$21,0)</f>
        <v>0</v>
      </c>
      <c r="O24" s="255">
        <f>IF(E24&gt;0,$O$21,0)</f>
        <v>0</v>
      </c>
      <c r="P24" s="152">
        <f>ROUND(SUM(J24:O24),2)</f>
        <v>0</v>
      </c>
      <c r="Q24" s="153">
        <f>ROUND((I24+P24)*$Q$21,2)</f>
        <v>0</v>
      </c>
      <c r="R24" s="369">
        <f>EQUIPAMENTOS!K44</f>
        <v>0</v>
      </c>
      <c r="S24" s="369">
        <f>INSUMOS!J26</f>
        <v>0</v>
      </c>
      <c r="T24" s="369">
        <f>INSUMOS!J53</f>
        <v>0</v>
      </c>
      <c r="U24" s="369">
        <f>INSUMOS!$J$66</f>
        <v>0</v>
      </c>
      <c r="V24" s="152">
        <f>SUM(R24:U24)</f>
        <v>0</v>
      </c>
      <c r="W24" s="153">
        <f>I24+P24+Q24+V24</f>
        <v>0</v>
      </c>
      <c r="X24" s="321"/>
    </row>
    <row r="25" spans="1:38" ht="15" customHeight="1" x14ac:dyDescent="0.25">
      <c r="A25" s="367"/>
      <c r="B25" s="367"/>
      <c r="C25" s="367"/>
      <c r="D25" s="154"/>
      <c r="E25" s="155"/>
      <c r="F25" s="155"/>
      <c r="G25" s="155"/>
      <c r="H25" s="156"/>
      <c r="I25" s="156"/>
      <c r="J25" s="256"/>
      <c r="K25" s="157"/>
      <c r="L25" s="157"/>
      <c r="M25" s="157"/>
      <c r="N25" s="157"/>
      <c r="O25" s="257"/>
      <c r="P25" s="156"/>
      <c r="Q25" s="156"/>
      <c r="R25" s="156"/>
      <c r="S25" s="156"/>
      <c r="T25" s="156"/>
      <c r="U25" s="156"/>
      <c r="V25" s="156"/>
      <c r="W25" s="156"/>
    </row>
    <row r="26" spans="1:38" ht="25.5" customHeight="1" x14ac:dyDescent="0.25">
      <c r="A26" s="537"/>
      <c r="C26" s="368"/>
      <c r="D26" s="154"/>
      <c r="E26" s="155"/>
      <c r="F26" s="155"/>
      <c r="G26" s="155"/>
      <c r="H26" s="156"/>
      <c r="I26" s="158" t="s">
        <v>381</v>
      </c>
      <c r="J26" s="739"/>
      <c r="K26" s="740"/>
      <c r="L26" s="740"/>
      <c r="M26" s="740"/>
      <c r="N26" s="741"/>
      <c r="O26" s="742"/>
      <c r="P26" s="156"/>
      <c r="Q26" s="156"/>
      <c r="R26" s="156"/>
      <c r="S26" s="156"/>
      <c r="T26" s="156"/>
      <c r="U26" s="156"/>
      <c r="V26" s="156"/>
      <c r="W26" s="156"/>
    </row>
    <row r="27" spans="1:38" ht="25.5" customHeight="1" thickBot="1" x14ac:dyDescent="0.3">
      <c r="A27" s="368"/>
      <c r="C27" s="159"/>
      <c r="D27" s="159"/>
      <c r="E27" s="160"/>
      <c r="F27" s="160"/>
      <c r="G27" s="535"/>
      <c r="H27" s="161"/>
      <c r="I27" s="158" t="s">
        <v>223</v>
      </c>
      <c r="J27" s="743"/>
      <c r="K27" s="744"/>
      <c r="L27" s="744"/>
      <c r="M27" s="744"/>
      <c r="N27" s="744"/>
      <c r="O27" s="745"/>
    </row>
    <row r="28" spans="1:38" ht="15" customHeight="1" thickTop="1" x14ac:dyDescent="0.25">
      <c r="A28" s="368"/>
      <c r="C28" s="159"/>
      <c r="D28" s="159"/>
      <c r="E28" s="160"/>
      <c r="F28" s="160"/>
      <c r="G28" s="535"/>
      <c r="H28" s="161"/>
      <c r="I28" s="158"/>
      <c r="J28" s="536"/>
      <c r="K28" s="536"/>
      <c r="L28" s="536"/>
      <c r="M28" s="536"/>
      <c r="N28" s="536"/>
      <c r="O28" s="536"/>
    </row>
    <row r="29" spans="1:38" s="588" customFormat="1" ht="30" customHeight="1" thickBot="1" x14ac:dyDescent="0.3">
      <c r="A29" s="693" t="s">
        <v>218</v>
      </c>
      <c r="B29" s="693"/>
      <c r="C29" s="693"/>
      <c r="D29" s="693"/>
      <c r="E29" s="693"/>
      <c r="F29" s="693"/>
      <c r="G29" s="693"/>
      <c r="H29" s="693"/>
      <c r="I29" s="693"/>
      <c r="J29" s="693"/>
      <c r="K29" s="693"/>
      <c r="L29" s="693"/>
      <c r="M29" s="693"/>
      <c r="N29" s="693"/>
      <c r="O29" s="693"/>
      <c r="P29" s="317"/>
      <c r="Q29" s="317"/>
      <c r="R29" s="317"/>
      <c r="S29" s="317"/>
      <c r="T29" s="317"/>
      <c r="U29" s="317"/>
      <c r="V29" s="317"/>
      <c r="W29" s="317"/>
      <c r="X29" s="124"/>
      <c r="Y29" s="124"/>
      <c r="Z29" s="124"/>
      <c r="AA29" s="124"/>
      <c r="AB29" s="124"/>
      <c r="AC29" s="125"/>
      <c r="AD29" s="126"/>
      <c r="AE29" s="126"/>
      <c r="AF29" s="126"/>
      <c r="AG29" s="126"/>
      <c r="AH29" s="126"/>
      <c r="AI29" s="126"/>
      <c r="AJ29" s="126"/>
      <c r="AK29" s="126"/>
      <c r="AL29" s="126"/>
    </row>
    <row r="30" spans="1:38" s="588" customFormat="1" ht="30" customHeight="1" thickTop="1" x14ac:dyDescent="0.25">
      <c r="A30" s="127"/>
      <c r="B30" s="127"/>
      <c r="C30" s="127"/>
      <c r="D30" s="127"/>
      <c r="E30" s="127"/>
      <c r="F30" s="127"/>
      <c r="G30" s="127"/>
      <c r="H30" s="127"/>
      <c r="I30" s="127"/>
      <c r="J30" s="127"/>
      <c r="K30" s="127"/>
      <c r="L30" s="127"/>
      <c r="M30" s="127"/>
      <c r="N30" s="127"/>
      <c r="O30" s="127"/>
      <c r="P30" s="124"/>
      <c r="Q30" s="124"/>
      <c r="R30" s="124"/>
      <c r="S30" s="124"/>
      <c r="T30" s="124"/>
      <c r="U30" s="124"/>
      <c r="V30" s="124"/>
      <c r="W30" s="124"/>
      <c r="X30" s="124"/>
      <c r="Y30" s="124"/>
      <c r="Z30" s="124"/>
      <c r="AA30" s="124"/>
      <c r="AB30" s="124"/>
      <c r="AC30" s="125"/>
      <c r="AD30" s="126"/>
      <c r="AE30" s="126"/>
      <c r="AF30" s="126"/>
      <c r="AG30" s="126"/>
      <c r="AH30" s="126"/>
      <c r="AI30" s="126"/>
      <c r="AJ30" s="126"/>
      <c r="AK30" s="126"/>
      <c r="AL30" s="126"/>
    </row>
    <row r="31" spans="1:38" s="588" customFormat="1" ht="30" customHeight="1" x14ac:dyDescent="0.25">
      <c r="A31" s="737" t="s">
        <v>219</v>
      </c>
      <c r="B31" s="738"/>
      <c r="C31" s="313">
        <v>30</v>
      </c>
      <c r="D31" s="314" t="s">
        <v>185</v>
      </c>
      <c r="E31" s="314" t="s">
        <v>186</v>
      </c>
      <c r="F31" s="365"/>
      <c r="G31" s="365"/>
      <c r="H31" s="127"/>
      <c r="I31" s="127"/>
      <c r="J31" s="127"/>
      <c r="K31" s="127"/>
      <c r="L31" s="127"/>
      <c r="M31" s="127"/>
      <c r="N31" s="127"/>
      <c r="O31" s="127"/>
      <c r="P31" s="124"/>
      <c r="Q31" s="124"/>
      <c r="R31" s="124"/>
      <c r="S31" s="124"/>
      <c r="T31" s="124"/>
      <c r="U31" s="124"/>
      <c r="V31" s="124"/>
      <c r="W31" s="124"/>
      <c r="X31" s="124"/>
      <c r="Y31" s="124"/>
      <c r="Z31" s="124"/>
      <c r="AA31" s="124"/>
      <c r="AB31" s="124"/>
      <c r="AC31" s="125"/>
      <c r="AD31" s="126"/>
      <c r="AE31" s="126"/>
      <c r="AF31" s="126"/>
      <c r="AG31" s="126"/>
      <c r="AH31" s="126"/>
      <c r="AI31" s="126"/>
      <c r="AJ31" s="126"/>
      <c r="AK31" s="126"/>
      <c r="AL31" s="126"/>
    </row>
    <row r="32" spans="1:38" s="588" customFormat="1" ht="30" customHeight="1" x14ac:dyDescent="0.25">
      <c r="A32" s="127"/>
      <c r="B32" s="127"/>
      <c r="C32" s="127"/>
      <c r="D32" s="127"/>
      <c r="E32" s="127"/>
      <c r="F32" s="127"/>
      <c r="G32" s="127"/>
      <c r="H32" s="127"/>
      <c r="I32" s="127"/>
      <c r="J32" s="127"/>
      <c r="K32" s="127"/>
      <c r="L32" s="127"/>
      <c r="M32" s="127"/>
      <c r="N32" s="127"/>
      <c r="O32" s="127"/>
      <c r="P32" s="124"/>
      <c r="Q32" s="124"/>
      <c r="R32" s="124"/>
      <c r="S32" s="124"/>
      <c r="T32" s="124"/>
      <c r="U32" s="124"/>
      <c r="V32" s="124"/>
      <c r="W32" s="124"/>
      <c r="X32" s="124"/>
      <c r="Y32" s="124"/>
      <c r="Z32" s="124"/>
      <c r="AA32" s="124"/>
      <c r="AB32" s="124"/>
      <c r="AC32" s="125"/>
      <c r="AD32" s="126"/>
      <c r="AE32" s="126"/>
      <c r="AF32" s="126"/>
      <c r="AG32" s="126"/>
      <c r="AH32" s="126"/>
      <c r="AI32" s="126"/>
      <c r="AJ32" s="126"/>
      <c r="AK32" s="126"/>
      <c r="AL32" s="126"/>
    </row>
    <row r="33" spans="1:38" s="588" customFormat="1" ht="45" customHeight="1" x14ac:dyDescent="0.2">
      <c r="A33" s="425"/>
      <c r="B33" s="425"/>
      <c r="C33" s="426"/>
      <c r="D33" s="415" t="str">
        <f>D16</f>
        <v>Jornada Semanal</v>
      </c>
      <c r="E33" s="415" t="s">
        <v>309</v>
      </c>
      <c r="F33" s="415" t="s">
        <v>283</v>
      </c>
      <c r="G33" s="415" t="s">
        <v>176</v>
      </c>
      <c r="H33" s="415" t="s">
        <v>69</v>
      </c>
      <c r="I33" s="415" t="s">
        <v>284</v>
      </c>
      <c r="J33" s="415" t="s">
        <v>285</v>
      </c>
      <c r="K33" s="415" t="s">
        <v>286</v>
      </c>
      <c r="L33" s="415" t="s">
        <v>287</v>
      </c>
      <c r="M33" s="415" t="s">
        <v>288</v>
      </c>
      <c r="N33" s="650" t="s">
        <v>215</v>
      </c>
      <c r="O33" s="651"/>
      <c r="R33" s="124"/>
      <c r="S33" s="124"/>
      <c r="T33" s="124"/>
      <c r="U33" s="124"/>
      <c r="V33" s="124"/>
      <c r="W33" s="124"/>
      <c r="X33" s="124"/>
      <c r="Y33" s="456"/>
      <c r="Z33" s="456"/>
      <c r="AA33" s="129"/>
      <c r="AB33" s="130"/>
      <c r="AC33" s="130"/>
      <c r="AD33" s="416"/>
      <c r="AE33" s="416"/>
      <c r="AF33" s="416"/>
      <c r="AG33" s="416"/>
      <c r="AH33" s="416"/>
      <c r="AI33" s="416"/>
      <c r="AJ33" s="416"/>
      <c r="AK33" s="416"/>
      <c r="AL33" s="416"/>
    </row>
    <row r="34" spans="1:38" s="588" customFormat="1" ht="30" customHeight="1" x14ac:dyDescent="0.2">
      <c r="A34" s="424">
        <f t="shared" ref="A34:D36" si="4">A22</f>
        <v>1</v>
      </c>
      <c r="B34" s="427" t="str">
        <f t="shared" si="4"/>
        <v>Encarregado de Almoxarifado</v>
      </c>
      <c r="C34" s="424" t="str">
        <f t="shared" si="4"/>
        <v>4102-05</v>
      </c>
      <c r="D34" s="417">
        <f t="shared" si="4"/>
        <v>44</v>
      </c>
      <c r="E34" s="379" t="s">
        <v>214</v>
      </c>
      <c r="F34" s="418">
        <f>W22</f>
        <v>0</v>
      </c>
      <c r="G34" s="589">
        <f>ROUND(F34/30,2)</f>
        <v>0</v>
      </c>
      <c r="H34" s="379">
        <v>3</v>
      </c>
      <c r="I34" s="419">
        <f>F34*H34</f>
        <v>0</v>
      </c>
      <c r="J34" s="429"/>
      <c r="K34" s="429"/>
      <c r="L34" s="430">
        <v>30</v>
      </c>
      <c r="M34" s="430">
        <v>0</v>
      </c>
      <c r="N34" s="648">
        <f>(I34*L34)+(G34*H34*M34)</f>
        <v>0</v>
      </c>
      <c r="O34" s="649"/>
      <c r="R34" s="124"/>
      <c r="S34" s="124"/>
      <c r="T34" s="124"/>
      <c r="U34" s="124"/>
      <c r="V34" s="124"/>
      <c r="W34" s="124"/>
      <c r="X34" s="124"/>
      <c r="Y34" s="162"/>
      <c r="Z34" s="457"/>
      <c r="AA34" s="697"/>
      <c r="AB34" s="698"/>
      <c r="AC34" s="416"/>
      <c r="AD34" s="416"/>
      <c r="AE34" s="416"/>
      <c r="AF34" s="416"/>
      <c r="AG34" s="416"/>
      <c r="AH34" s="416"/>
      <c r="AI34" s="416"/>
      <c r="AJ34" s="416"/>
      <c r="AK34" s="416"/>
      <c r="AL34" s="416"/>
    </row>
    <row r="35" spans="1:38" s="588" customFormat="1" ht="30" customHeight="1" x14ac:dyDescent="0.2">
      <c r="A35" s="417">
        <f t="shared" si="4"/>
        <v>2</v>
      </c>
      <c r="B35" s="428" t="str">
        <f t="shared" si="4"/>
        <v>Auxiliar de Almoxarifado</v>
      </c>
      <c r="C35" s="417" t="str">
        <f t="shared" si="4"/>
        <v>4141-05</v>
      </c>
      <c r="D35" s="417">
        <f t="shared" si="4"/>
        <v>44</v>
      </c>
      <c r="E35" s="379" t="s">
        <v>214</v>
      </c>
      <c r="F35" s="418">
        <f t="shared" ref="F35:F36" si="5">W23</f>
        <v>0</v>
      </c>
      <c r="G35" s="589">
        <f>ROUND(F35/30,2)</f>
        <v>0</v>
      </c>
      <c r="H35" s="379">
        <v>6</v>
      </c>
      <c r="I35" s="419">
        <f>F35*H35</f>
        <v>0</v>
      </c>
      <c r="J35" s="429"/>
      <c r="K35" s="429"/>
      <c r="L35" s="430">
        <v>30</v>
      </c>
      <c r="M35" s="430">
        <v>0</v>
      </c>
      <c r="N35" s="648">
        <f>(I35*L35)+(G35*H35*M35)</f>
        <v>0</v>
      </c>
      <c r="O35" s="649"/>
      <c r="R35" s="124"/>
      <c r="S35" s="124"/>
      <c r="T35" s="124"/>
      <c r="U35" s="124"/>
      <c r="V35" s="124"/>
      <c r="W35" s="124"/>
      <c r="X35" s="124"/>
      <c r="Y35" s="162"/>
      <c r="Z35" s="457"/>
      <c r="AA35" s="587"/>
      <c r="AC35" s="416"/>
      <c r="AD35" s="416"/>
      <c r="AE35" s="416"/>
      <c r="AF35" s="416"/>
      <c r="AG35" s="416"/>
      <c r="AH35" s="416"/>
      <c r="AI35" s="416"/>
      <c r="AJ35" s="416"/>
      <c r="AK35" s="416"/>
      <c r="AL35" s="416"/>
    </row>
    <row r="36" spans="1:38" s="588" customFormat="1" ht="30" customHeight="1" thickBot="1" x14ac:dyDescent="0.25">
      <c r="A36" s="417">
        <f t="shared" si="4"/>
        <v>3</v>
      </c>
      <c r="B36" s="428" t="str">
        <f t="shared" si="4"/>
        <v>Marceneiro</v>
      </c>
      <c r="C36" s="417" t="str">
        <f t="shared" si="4"/>
        <v>7711-05</v>
      </c>
      <c r="D36" s="417">
        <f t="shared" si="4"/>
        <v>44</v>
      </c>
      <c r="E36" s="379" t="s">
        <v>214</v>
      </c>
      <c r="F36" s="418">
        <f t="shared" si="5"/>
        <v>0</v>
      </c>
      <c r="G36" s="589">
        <f>ROUND(F36/30,2)</f>
        <v>0</v>
      </c>
      <c r="H36" s="379">
        <v>1</v>
      </c>
      <c r="I36" s="419">
        <f>F36*H36</f>
        <v>0</v>
      </c>
      <c r="J36" s="429"/>
      <c r="K36" s="429"/>
      <c r="L36" s="430">
        <v>30</v>
      </c>
      <c r="M36" s="430">
        <v>0</v>
      </c>
      <c r="N36" s="648">
        <f>(I36*L36)+(G36*H36*M36)</f>
        <v>0</v>
      </c>
      <c r="O36" s="649"/>
      <c r="R36" s="124"/>
      <c r="S36" s="124"/>
      <c r="T36" s="124"/>
      <c r="U36" s="124"/>
      <c r="V36" s="124"/>
      <c r="W36" s="124"/>
      <c r="X36" s="124"/>
      <c r="Y36" s="162"/>
      <c r="Z36" s="457"/>
      <c r="AA36" s="416"/>
      <c r="AB36" s="416"/>
      <c r="AC36" s="416"/>
      <c r="AD36" s="416"/>
      <c r="AE36" s="416"/>
      <c r="AF36" s="416"/>
      <c r="AG36" s="416"/>
      <c r="AH36" s="416"/>
      <c r="AI36" s="416"/>
      <c r="AJ36" s="416"/>
      <c r="AK36" s="416"/>
      <c r="AL36" s="416"/>
    </row>
    <row r="37" spans="1:38" s="588" customFormat="1" ht="30" customHeight="1" thickBot="1" x14ac:dyDescent="0.25">
      <c r="A37" s="420"/>
      <c r="B37" s="420"/>
      <c r="C37" s="420"/>
      <c r="D37" s="420"/>
      <c r="E37" s="421"/>
      <c r="F37" s="421"/>
      <c r="H37" s="327">
        <f>SUM(H34:H36)</f>
        <v>10</v>
      </c>
      <c r="I37" s="455">
        <f>SUM(I34:I36)</f>
        <v>0</v>
      </c>
      <c r="J37" s="390"/>
      <c r="K37" s="422"/>
      <c r="L37" s="422"/>
      <c r="M37" s="423"/>
      <c r="N37" s="652">
        <f>SUM(N34:O36)</f>
        <v>0</v>
      </c>
      <c r="O37" s="653"/>
      <c r="R37" s="124"/>
      <c r="S37" s="124"/>
      <c r="T37" s="124"/>
      <c r="U37" s="124"/>
      <c r="V37" s="124"/>
      <c r="W37" s="124"/>
      <c r="X37" s="124"/>
      <c r="Y37" s="162"/>
      <c r="Z37" s="457"/>
      <c r="AA37" s="416"/>
      <c r="AB37" s="416"/>
      <c r="AC37" s="416"/>
      <c r="AD37" s="416"/>
      <c r="AE37" s="416"/>
      <c r="AF37" s="416"/>
      <c r="AG37" s="416"/>
      <c r="AH37" s="416"/>
      <c r="AI37" s="416"/>
      <c r="AJ37" s="416"/>
      <c r="AK37" s="416"/>
      <c r="AL37" s="416"/>
    </row>
    <row r="38" spans="1:38" s="588" customFormat="1" ht="15.95" customHeight="1" x14ac:dyDescent="0.25">
      <c r="A38" s="216"/>
      <c r="B38" s="216"/>
      <c r="C38" s="216"/>
      <c r="D38" s="216"/>
      <c r="E38" s="217"/>
      <c r="F38" s="217"/>
      <c r="G38" s="217"/>
      <c r="H38" s="303"/>
      <c r="I38" s="304"/>
      <c r="J38" s="305"/>
      <c r="K38" s="218"/>
      <c r="L38" s="219"/>
      <c r="P38" s="217"/>
      <c r="Q38" s="217"/>
      <c r="R38" s="217"/>
      <c r="S38" s="217"/>
      <c r="T38" s="217"/>
      <c r="U38" s="217"/>
      <c r="V38" s="217"/>
      <c r="W38" s="217"/>
      <c r="X38" s="219"/>
      <c r="Y38" s="460"/>
      <c r="Z38" s="461"/>
      <c r="AA38" s="131"/>
      <c r="AB38" s="131"/>
      <c r="AC38" s="131"/>
      <c r="AD38" s="131"/>
      <c r="AE38" s="131"/>
      <c r="AF38" s="131"/>
      <c r="AG38" s="131"/>
      <c r="AH38" s="131"/>
      <c r="AI38" s="131"/>
      <c r="AJ38" s="131"/>
      <c r="AK38" s="131"/>
      <c r="AL38" s="131"/>
    </row>
    <row r="39" spans="1:38" s="588" customFormat="1" ht="30" hidden="1" customHeight="1" x14ac:dyDescent="0.25">
      <c r="A39" s="220"/>
      <c r="B39" s="704" t="s">
        <v>216</v>
      </c>
      <c r="C39" s="705"/>
      <c r="D39" s="705"/>
      <c r="E39" s="705"/>
      <c r="F39" s="706"/>
      <c r="G39" s="318"/>
      <c r="H39" s="221"/>
      <c r="I39" s="221"/>
      <c r="J39" s="221"/>
      <c r="K39" s="221"/>
      <c r="L39" s="221"/>
      <c r="M39" s="221"/>
      <c r="N39" s="221"/>
      <c r="O39" s="222"/>
      <c r="P39" s="124"/>
      <c r="Q39" s="124"/>
      <c r="R39" s="124"/>
      <c r="S39" s="124"/>
      <c r="T39" s="124"/>
      <c r="U39" s="124"/>
      <c r="V39" s="124"/>
      <c r="W39" s="124"/>
      <c r="X39" s="133"/>
      <c r="Y39" s="462"/>
      <c r="Z39" s="463"/>
      <c r="AA39" s="131"/>
      <c r="AB39" s="131"/>
      <c r="AC39" s="131"/>
      <c r="AD39" s="131"/>
      <c r="AE39" s="131"/>
      <c r="AF39" s="131"/>
      <c r="AG39" s="131"/>
      <c r="AH39" s="131"/>
      <c r="AI39" s="131"/>
      <c r="AJ39" s="131"/>
      <c r="AK39" s="131"/>
      <c r="AL39" s="131"/>
    </row>
    <row r="40" spans="1:38" s="588" customFormat="1" ht="30" hidden="1" customHeight="1" x14ac:dyDescent="0.25">
      <c r="A40" s="213"/>
      <c r="B40" s="688" t="s">
        <v>217</v>
      </c>
      <c r="C40" s="689"/>
      <c r="D40" s="690"/>
      <c r="E40" s="686">
        <v>80000</v>
      </c>
      <c r="F40" s="703"/>
      <c r="G40" s="246"/>
      <c r="H40" s="221"/>
      <c r="I40" s="221"/>
      <c r="J40" s="221"/>
      <c r="K40" s="221"/>
      <c r="L40" s="221"/>
      <c r="M40" s="221"/>
      <c r="N40" s="221"/>
      <c r="O40" s="221"/>
      <c r="P40" s="131"/>
      <c r="Q40" s="131"/>
      <c r="R40" s="131"/>
      <c r="S40" s="131"/>
      <c r="T40" s="131"/>
      <c r="U40" s="131"/>
      <c r="V40" s="131"/>
      <c r="W40" s="134"/>
      <c r="X40" s="133"/>
      <c r="Y40" s="133"/>
      <c r="Z40" s="132"/>
      <c r="AA40" s="131"/>
      <c r="AB40" s="131"/>
      <c r="AC40" s="131"/>
      <c r="AD40" s="131"/>
      <c r="AE40" s="131"/>
      <c r="AF40" s="131"/>
      <c r="AG40" s="131"/>
      <c r="AH40" s="131"/>
      <c r="AI40" s="131"/>
      <c r="AJ40" s="131"/>
      <c r="AK40" s="131"/>
      <c r="AL40" s="131"/>
    </row>
    <row r="41" spans="1:38" s="588" customFormat="1" ht="30" hidden="1" customHeight="1" x14ac:dyDescent="0.25">
      <c r="A41" s="213"/>
      <c r="B41" s="688" t="s">
        <v>182</v>
      </c>
      <c r="C41" s="689"/>
      <c r="D41" s="690"/>
      <c r="E41" s="685">
        <v>200</v>
      </c>
      <c r="F41" s="686"/>
      <c r="G41" s="246"/>
      <c r="H41" s="221"/>
      <c r="I41" s="221"/>
      <c r="J41" s="221"/>
      <c r="K41" s="221"/>
      <c r="L41" s="221"/>
      <c r="M41" s="221"/>
      <c r="N41" s="221"/>
      <c r="O41" s="221"/>
      <c r="P41" s="131"/>
      <c r="Q41" s="131"/>
      <c r="R41" s="131"/>
      <c r="S41" s="131"/>
      <c r="T41" s="131"/>
      <c r="U41" s="131"/>
      <c r="V41" s="131"/>
      <c r="W41" s="134"/>
      <c r="X41" s="135"/>
      <c r="Y41" s="135"/>
      <c r="Z41" s="132"/>
      <c r="AA41" s="131"/>
      <c r="AB41" s="131"/>
      <c r="AC41" s="131"/>
      <c r="AD41" s="131"/>
      <c r="AE41" s="131"/>
      <c r="AF41" s="131"/>
      <c r="AG41" s="131"/>
      <c r="AH41" s="131"/>
      <c r="AI41" s="131"/>
      <c r="AJ41" s="131"/>
      <c r="AK41" s="131"/>
      <c r="AL41" s="131"/>
    </row>
    <row r="42" spans="1:38" s="588" customFormat="1" ht="30" hidden="1" customHeight="1" x14ac:dyDescent="0.25">
      <c r="A42" s="220"/>
      <c r="B42" s="691" t="s">
        <v>160</v>
      </c>
      <c r="C42" s="691"/>
      <c r="D42" s="692"/>
      <c r="E42" s="699">
        <f>SUM(E40:F41)</f>
        <v>80200</v>
      </c>
      <c r="F42" s="700"/>
      <c r="G42" s="237"/>
      <c r="H42" s="221"/>
      <c r="I42" s="221"/>
      <c r="J42" s="221"/>
      <c r="K42" s="221"/>
      <c r="L42" s="221"/>
      <c r="M42" s="221"/>
      <c r="N42" s="221"/>
      <c r="O42" s="221"/>
      <c r="P42" s="131"/>
      <c r="Q42" s="131"/>
      <c r="R42" s="131"/>
      <c r="S42" s="131"/>
      <c r="T42" s="131"/>
      <c r="U42" s="131"/>
      <c r="V42" s="131"/>
      <c r="W42" s="134"/>
      <c r="X42" s="135"/>
      <c r="Y42" s="135"/>
      <c r="Z42" s="132"/>
      <c r="AA42" s="131"/>
      <c r="AB42" s="131"/>
      <c r="AC42" s="131"/>
      <c r="AD42" s="131"/>
      <c r="AE42" s="131"/>
      <c r="AF42" s="131"/>
      <c r="AG42" s="131"/>
      <c r="AH42" s="131"/>
      <c r="AI42" s="131"/>
      <c r="AJ42" s="131"/>
      <c r="AK42" s="131"/>
      <c r="AL42" s="131"/>
    </row>
    <row r="43" spans="1:38" s="588" customFormat="1" ht="30" hidden="1" customHeight="1" thickBot="1" x14ac:dyDescent="0.3">
      <c r="A43" s="223"/>
      <c r="B43" s="238"/>
      <c r="C43" s="238"/>
      <c r="D43" s="238"/>
      <c r="E43" s="238"/>
      <c r="F43" s="238"/>
      <c r="G43" s="238"/>
      <c r="H43" s="223"/>
      <c r="I43" s="223"/>
      <c r="J43" s="223"/>
      <c r="K43" s="223"/>
      <c r="L43" s="223"/>
      <c r="M43" s="223"/>
      <c r="N43" s="223"/>
      <c r="O43" s="223"/>
      <c r="P43" s="136"/>
      <c r="Q43" s="136"/>
      <c r="R43" s="136"/>
      <c r="S43" s="136"/>
      <c r="T43" s="136"/>
      <c r="U43" s="136"/>
      <c r="V43" s="136"/>
      <c r="W43" s="127"/>
      <c r="X43" s="136"/>
      <c r="Y43" s="136"/>
      <c r="Z43" s="127"/>
      <c r="AA43" s="136"/>
      <c r="AB43" s="136"/>
      <c r="AC43" s="137"/>
      <c r="AD43" s="126"/>
      <c r="AE43" s="126"/>
      <c r="AF43" s="126"/>
      <c r="AG43" s="126"/>
      <c r="AH43" s="126"/>
      <c r="AI43" s="126"/>
      <c r="AJ43" s="126"/>
      <c r="AK43" s="126"/>
      <c r="AL43" s="126"/>
    </row>
    <row r="44" spans="1:38" s="588" customFormat="1" ht="30" hidden="1" customHeight="1" thickTop="1" thickBot="1" x14ac:dyDescent="0.3">
      <c r="A44" s="220"/>
      <c r="D44" s="239" t="s">
        <v>174</v>
      </c>
      <c r="E44" s="701">
        <f>N37+E42</f>
        <v>80200</v>
      </c>
      <c r="F44" s="702"/>
      <c r="I44" s="224"/>
      <c r="J44" s="224"/>
      <c r="K44" s="224"/>
      <c r="L44" s="224"/>
      <c r="M44" s="224"/>
      <c r="N44" s="224"/>
      <c r="O44" s="224"/>
      <c r="P44" s="131"/>
      <c r="Q44" s="131"/>
      <c r="R44" s="131"/>
      <c r="S44" s="131"/>
      <c r="T44" s="131"/>
      <c r="U44" s="131"/>
      <c r="V44" s="131"/>
      <c r="W44" s="134"/>
      <c r="X44" s="133"/>
      <c r="Y44" s="133"/>
      <c r="Z44" s="132"/>
      <c r="AA44" s="131"/>
      <c r="AB44" s="131"/>
      <c r="AC44" s="131"/>
      <c r="AD44" s="131"/>
      <c r="AE44" s="131"/>
      <c r="AF44" s="131"/>
      <c r="AG44" s="131"/>
      <c r="AH44" s="131"/>
      <c r="AI44" s="131"/>
      <c r="AJ44" s="131"/>
      <c r="AK44" s="131"/>
      <c r="AL44" s="131"/>
    </row>
    <row r="45" spans="1:38" s="124" customFormat="1" ht="30" hidden="1" customHeight="1" thickTop="1" thickBot="1" x14ac:dyDescent="0.3">
      <c r="A45" s="736" t="s">
        <v>175</v>
      </c>
      <c r="B45" s="736"/>
      <c r="C45" s="736"/>
      <c r="D45" s="736"/>
      <c r="E45" s="736"/>
      <c r="F45" s="736"/>
      <c r="G45" s="736"/>
      <c r="H45" s="736"/>
      <c r="I45" s="736"/>
      <c r="J45" s="554"/>
      <c r="K45" s="554"/>
      <c r="L45" s="554"/>
      <c r="M45" s="554"/>
      <c r="N45" s="554"/>
      <c r="O45" s="554"/>
      <c r="AC45" s="125"/>
      <c r="AD45" s="139"/>
      <c r="AE45" s="139"/>
      <c r="AF45" s="139"/>
      <c r="AG45" s="139"/>
      <c r="AH45" s="139"/>
      <c r="AI45" s="139"/>
      <c r="AJ45" s="139"/>
      <c r="AK45" s="139"/>
      <c r="AL45" s="139"/>
    </row>
    <row r="46" spans="1:38" s="588" customFormat="1" ht="15" hidden="1" customHeight="1" thickTop="1" x14ac:dyDescent="0.2">
      <c r="A46" s="555"/>
      <c r="B46" s="556"/>
      <c r="C46" s="555"/>
      <c r="D46" s="555"/>
      <c r="E46" s="555"/>
      <c r="F46" s="555"/>
      <c r="G46" s="555"/>
      <c r="H46" s="555"/>
      <c r="I46" s="555"/>
      <c r="J46" s="555"/>
      <c r="K46" s="555"/>
      <c r="L46" s="555"/>
      <c r="M46" s="555"/>
      <c r="N46" s="555"/>
      <c r="O46" s="555"/>
      <c r="P46" s="584"/>
      <c r="Q46" s="584"/>
      <c r="R46" s="584"/>
      <c r="S46" s="584"/>
      <c r="T46" s="584"/>
      <c r="U46" s="584"/>
      <c r="V46" s="584"/>
      <c r="W46" s="584"/>
      <c r="X46" s="584"/>
      <c r="Y46" s="584"/>
      <c r="Z46" s="584"/>
      <c r="AA46" s="584"/>
      <c r="AB46" s="140"/>
      <c r="AC46" s="140"/>
      <c r="AD46" s="140"/>
      <c r="AE46" s="140"/>
      <c r="AF46" s="140"/>
      <c r="AG46" s="140"/>
      <c r="AH46" s="140"/>
      <c r="AI46" s="140"/>
      <c r="AJ46" s="140"/>
      <c r="AK46" s="140"/>
    </row>
    <row r="47" spans="1:38" s="142" customFormat="1" ht="15.95" hidden="1" customHeight="1" x14ac:dyDescent="0.2">
      <c r="A47" s="557"/>
      <c r="B47" s="684" t="s">
        <v>428</v>
      </c>
      <c r="C47" s="684"/>
      <c r="D47" s="684"/>
      <c r="E47" s="684"/>
      <c r="F47" s="684"/>
      <c r="G47" s="684"/>
      <c r="H47" s="684"/>
      <c r="I47" s="684"/>
      <c r="J47" s="684"/>
      <c r="K47" s="684"/>
      <c r="L47" s="684"/>
      <c r="M47" s="684"/>
      <c r="N47" s="684"/>
      <c r="O47" s="684"/>
      <c r="P47" s="141"/>
      <c r="Q47" s="141"/>
      <c r="R47" s="141"/>
      <c r="S47" s="141"/>
      <c r="T47" s="141"/>
      <c r="U47" s="141"/>
      <c r="V47" s="141"/>
      <c r="W47" s="141"/>
      <c r="X47" s="141"/>
      <c r="Y47" s="141"/>
      <c r="Z47" s="141"/>
      <c r="AA47" s="141"/>
      <c r="AB47" s="138"/>
      <c r="AC47" s="138"/>
      <c r="AD47" s="138"/>
      <c r="AE47" s="138"/>
      <c r="AF47" s="138"/>
      <c r="AG47" s="138"/>
      <c r="AH47" s="138"/>
      <c r="AI47" s="138"/>
      <c r="AJ47" s="138"/>
      <c r="AK47" s="138"/>
    </row>
    <row r="48" spans="1:38" s="124" customFormat="1" ht="30" customHeight="1" thickBot="1" x14ac:dyDescent="0.3">
      <c r="A48" s="693" t="s">
        <v>63</v>
      </c>
      <c r="B48" s="693"/>
      <c r="C48" s="693"/>
      <c r="D48" s="693"/>
      <c r="E48" s="693"/>
      <c r="F48" s="693"/>
      <c r="G48" s="693"/>
      <c r="H48" s="693"/>
      <c r="I48" s="693"/>
      <c r="J48" s="693"/>
      <c r="K48" s="693"/>
      <c r="L48" s="693"/>
      <c r="M48" s="693"/>
      <c r="N48" s="693"/>
      <c r="O48" s="693"/>
      <c r="P48" s="693"/>
      <c r="Q48" s="693"/>
      <c r="R48" s="693"/>
      <c r="S48" s="693"/>
      <c r="T48" s="693"/>
      <c r="U48" s="693"/>
      <c r="V48" s="693"/>
      <c r="W48" s="693"/>
      <c r="AC48" s="235"/>
      <c r="AD48" s="236"/>
      <c r="AE48" s="236"/>
      <c r="AF48" s="236"/>
      <c r="AG48" s="236"/>
      <c r="AH48" s="236"/>
      <c r="AI48" s="236"/>
      <c r="AJ48" s="236"/>
      <c r="AK48" s="236"/>
      <c r="AL48" s="236"/>
    </row>
    <row r="49" spans="1:37" s="588" customFormat="1" ht="15" customHeight="1" thickTop="1" x14ac:dyDescent="0.2">
      <c r="A49" s="584"/>
      <c r="B49" s="231"/>
      <c r="C49" s="584"/>
      <c r="D49" s="584"/>
      <c r="E49" s="584"/>
      <c r="F49" s="584"/>
      <c r="G49" s="584"/>
      <c r="H49" s="584"/>
      <c r="I49" s="584"/>
      <c r="J49" s="584"/>
      <c r="K49" s="584"/>
      <c r="L49" s="584"/>
      <c r="M49" s="584"/>
      <c r="N49" s="584"/>
      <c r="O49" s="584"/>
      <c r="P49" s="584"/>
      <c r="Q49" s="584"/>
      <c r="R49" s="584"/>
      <c r="S49" s="584"/>
      <c r="T49" s="584"/>
      <c r="U49" s="584"/>
      <c r="V49" s="584"/>
      <c r="W49" s="584"/>
      <c r="X49" s="584"/>
      <c r="Y49" s="584"/>
      <c r="Z49" s="584"/>
      <c r="AA49" s="584"/>
      <c r="AB49" s="140"/>
      <c r="AC49" s="140"/>
      <c r="AD49" s="140"/>
      <c r="AE49" s="140"/>
      <c r="AF49" s="140"/>
      <c r="AG49" s="140"/>
      <c r="AH49" s="140"/>
      <c r="AI49" s="140"/>
      <c r="AJ49" s="140"/>
      <c r="AK49" s="140"/>
    </row>
    <row r="50" spans="1:37" s="588" customFormat="1" ht="15.95" customHeight="1" x14ac:dyDescent="0.2">
      <c r="A50" s="584"/>
      <c r="B50" s="683" t="s">
        <v>180</v>
      </c>
      <c r="C50" s="683"/>
      <c r="D50" s="683"/>
      <c r="E50" s="683"/>
      <c r="F50" s="683"/>
      <c r="G50" s="683"/>
      <c r="H50" s="683"/>
      <c r="I50" s="683"/>
      <c r="J50" s="683"/>
      <c r="K50" s="683"/>
      <c r="L50" s="683"/>
      <c r="M50" s="683"/>
      <c r="N50" s="683"/>
      <c r="O50" s="683"/>
      <c r="P50" s="584"/>
      <c r="Q50" s="584"/>
      <c r="R50" s="584"/>
      <c r="S50" s="584"/>
      <c r="T50" s="584"/>
      <c r="U50" s="584"/>
      <c r="V50" s="584"/>
      <c r="W50" s="584"/>
      <c r="X50" s="584"/>
      <c r="Y50" s="584"/>
      <c r="Z50" s="584"/>
      <c r="AA50" s="584"/>
      <c r="AB50" s="140"/>
      <c r="AC50" s="140"/>
      <c r="AD50" s="140"/>
      <c r="AE50" s="140"/>
      <c r="AF50" s="140"/>
      <c r="AG50" s="140"/>
      <c r="AH50" s="140"/>
      <c r="AI50" s="140"/>
      <c r="AJ50" s="140"/>
      <c r="AK50" s="140"/>
    </row>
    <row r="51" spans="1:37" s="588" customFormat="1" ht="15.95" customHeight="1" x14ac:dyDescent="0.2">
      <c r="A51" s="584"/>
      <c r="B51" s="585" t="s">
        <v>181</v>
      </c>
      <c r="C51" s="585"/>
      <c r="D51" s="585"/>
      <c r="E51" s="585"/>
      <c r="F51" s="585"/>
      <c r="G51" s="585"/>
      <c r="H51" s="585"/>
      <c r="I51" s="585"/>
      <c r="J51" s="585"/>
      <c r="K51" s="585"/>
      <c r="L51" s="585"/>
      <c r="M51" s="585"/>
      <c r="N51" s="585"/>
      <c r="O51" s="585"/>
      <c r="P51" s="584"/>
      <c r="Q51" s="584"/>
      <c r="R51" s="584"/>
      <c r="S51" s="584"/>
      <c r="T51" s="584"/>
      <c r="U51" s="584"/>
      <c r="V51" s="584"/>
      <c r="W51" s="584"/>
      <c r="X51" s="584"/>
      <c r="Y51" s="584"/>
      <c r="Z51" s="584"/>
      <c r="AA51" s="584"/>
      <c r="AB51" s="140"/>
      <c r="AC51" s="140"/>
      <c r="AD51" s="140"/>
      <c r="AE51" s="140"/>
      <c r="AF51" s="140"/>
      <c r="AG51" s="140"/>
      <c r="AH51" s="140"/>
      <c r="AI51" s="140"/>
      <c r="AJ51" s="140"/>
      <c r="AK51" s="140"/>
    </row>
    <row r="52" spans="1:37" s="371" customFormat="1" ht="60" customHeight="1" x14ac:dyDescent="0.2">
      <c r="B52" s="687" t="s">
        <v>429</v>
      </c>
      <c r="C52" s="687"/>
      <c r="D52" s="687"/>
      <c r="E52" s="687"/>
      <c r="F52" s="687"/>
      <c r="G52" s="687"/>
      <c r="H52" s="687"/>
      <c r="I52" s="687"/>
      <c r="J52" s="687"/>
      <c r="K52" s="687"/>
      <c r="L52" s="687"/>
      <c r="M52" s="687"/>
      <c r="N52" s="687"/>
      <c r="O52" s="687"/>
      <c r="P52" s="82"/>
      <c r="Q52" s="82"/>
      <c r="R52" s="82"/>
      <c r="S52" s="82"/>
      <c r="T52" s="82"/>
      <c r="U52" s="82"/>
      <c r="V52" s="82"/>
      <c r="W52" s="82"/>
      <c r="X52" s="82"/>
      <c r="Y52" s="82"/>
      <c r="Z52" s="82"/>
      <c r="AA52" s="586"/>
    </row>
    <row r="53" spans="1:37" s="588" customFormat="1" ht="15.95" customHeight="1" x14ac:dyDescent="0.2">
      <c r="B53" s="682" t="s">
        <v>394</v>
      </c>
      <c r="C53" s="682"/>
      <c r="D53" s="682"/>
      <c r="E53" s="682"/>
      <c r="F53" s="682"/>
      <c r="G53" s="682"/>
      <c r="H53" s="682"/>
      <c r="I53" s="682"/>
      <c r="J53" s="682"/>
      <c r="K53" s="682"/>
      <c r="L53" s="682"/>
      <c r="M53" s="682"/>
      <c r="N53" s="682"/>
      <c r="O53" s="682"/>
      <c r="P53" s="682"/>
      <c r="Q53" s="124"/>
      <c r="R53" s="124"/>
      <c r="S53" s="124"/>
      <c r="T53" s="124"/>
      <c r="U53" s="124"/>
      <c r="V53" s="124"/>
      <c r="W53" s="124"/>
      <c r="X53" s="124"/>
      <c r="Y53" s="124"/>
      <c r="Z53" s="124"/>
      <c r="AA53" s="124"/>
      <c r="AB53" s="140"/>
      <c r="AC53" s="140"/>
      <c r="AD53" s="140"/>
      <c r="AE53" s="140"/>
      <c r="AF53" s="140"/>
      <c r="AG53" s="140"/>
      <c r="AH53" s="140"/>
      <c r="AI53" s="140"/>
      <c r="AJ53" s="140"/>
      <c r="AK53" s="140"/>
    </row>
    <row r="54" spans="1:37" s="588" customFormat="1" ht="15.95" customHeight="1" x14ac:dyDescent="0.2">
      <c r="B54" s="484" t="s">
        <v>385</v>
      </c>
      <c r="C54" s="584"/>
      <c r="D54" s="584"/>
      <c r="E54" s="584"/>
      <c r="F54" s="584"/>
      <c r="G54" s="584"/>
      <c r="H54" s="584"/>
      <c r="I54" s="584"/>
      <c r="J54" s="584"/>
      <c r="K54" s="584"/>
      <c r="L54" s="584"/>
      <c r="M54" s="584"/>
      <c r="N54" s="584"/>
      <c r="O54" s="584"/>
      <c r="P54" s="584"/>
      <c r="Q54" s="124"/>
      <c r="R54" s="124"/>
      <c r="S54" s="124"/>
      <c r="T54" s="124"/>
      <c r="U54" s="124"/>
      <c r="V54" s="124"/>
      <c r="W54" s="124"/>
      <c r="X54" s="124"/>
      <c r="Y54" s="124"/>
      <c r="Z54" s="124"/>
      <c r="AA54" s="124"/>
      <c r="AB54" s="140"/>
      <c r="AC54" s="140"/>
      <c r="AD54" s="140"/>
      <c r="AE54" s="140"/>
      <c r="AF54" s="140"/>
      <c r="AG54" s="140"/>
      <c r="AH54" s="140"/>
      <c r="AI54" s="140"/>
      <c r="AJ54" s="140"/>
      <c r="AK54" s="140"/>
    </row>
    <row r="55" spans="1:37" s="588" customFormat="1" ht="15.95" customHeight="1" x14ac:dyDescent="0.2">
      <c r="B55" s="484" t="s">
        <v>386</v>
      </c>
      <c r="C55" s="584"/>
      <c r="D55" s="584"/>
      <c r="E55" s="584"/>
      <c r="F55" s="584"/>
      <c r="G55" s="584"/>
      <c r="H55" s="584"/>
      <c r="I55" s="584"/>
      <c r="J55" s="584"/>
      <c r="K55" s="584"/>
      <c r="L55" s="584"/>
      <c r="M55" s="584"/>
      <c r="N55" s="584"/>
      <c r="O55" s="584"/>
      <c r="P55" s="584"/>
      <c r="Q55" s="124"/>
      <c r="R55" s="124"/>
      <c r="S55" s="124"/>
      <c r="T55" s="124"/>
      <c r="U55" s="124"/>
      <c r="V55" s="124"/>
      <c r="W55" s="124"/>
      <c r="X55" s="124"/>
      <c r="Y55" s="124"/>
      <c r="Z55" s="124"/>
      <c r="AA55" s="124"/>
      <c r="AB55" s="140"/>
      <c r="AC55" s="140"/>
      <c r="AD55" s="140"/>
      <c r="AE55" s="140"/>
      <c r="AF55" s="140"/>
      <c r="AG55" s="140"/>
      <c r="AH55" s="140"/>
      <c r="AI55" s="140"/>
      <c r="AJ55" s="140"/>
      <c r="AK55" s="140"/>
    </row>
    <row r="56" spans="1:37" s="588" customFormat="1" ht="15.95" customHeight="1" x14ac:dyDescent="0.2">
      <c r="B56" s="682" t="s">
        <v>393</v>
      </c>
      <c r="C56" s="682"/>
      <c r="D56" s="682"/>
      <c r="E56" s="682"/>
      <c r="F56" s="682"/>
      <c r="G56" s="682"/>
      <c r="H56" s="682"/>
      <c r="I56" s="682"/>
      <c r="J56" s="584"/>
      <c r="K56" s="584"/>
      <c r="L56" s="584"/>
      <c r="M56" s="584"/>
      <c r="N56" s="584"/>
      <c r="O56" s="584"/>
      <c r="P56" s="124"/>
      <c r="Q56" s="124"/>
      <c r="R56" s="124"/>
      <c r="S56" s="124"/>
      <c r="T56" s="124"/>
      <c r="U56" s="124"/>
      <c r="V56" s="124"/>
      <c r="W56" s="124"/>
      <c r="X56" s="124"/>
      <c r="Y56" s="124"/>
      <c r="Z56" s="124"/>
      <c r="AA56" s="124"/>
      <c r="AB56" s="140"/>
      <c r="AC56" s="140"/>
      <c r="AD56" s="140"/>
      <c r="AE56" s="140"/>
      <c r="AF56" s="140"/>
      <c r="AG56" s="140"/>
      <c r="AH56" s="140"/>
      <c r="AI56" s="140"/>
      <c r="AJ56" s="140"/>
      <c r="AK56" s="140"/>
    </row>
    <row r="57" spans="1:37" s="588" customFormat="1" ht="15.95" customHeight="1" x14ac:dyDescent="0.2">
      <c r="A57" s="141"/>
      <c r="B57" s="687" t="s">
        <v>159</v>
      </c>
      <c r="C57" s="687"/>
      <c r="D57" s="687"/>
      <c r="E57" s="82"/>
      <c r="F57" s="82"/>
      <c r="G57" s="82"/>
      <c r="H57" s="82"/>
      <c r="I57" s="82"/>
      <c r="J57" s="82"/>
      <c r="K57" s="82"/>
      <c r="L57" s="82"/>
      <c r="M57" s="82"/>
      <c r="N57" s="82"/>
      <c r="O57" s="124"/>
      <c r="P57" s="124"/>
      <c r="Q57" s="124"/>
      <c r="R57" s="124"/>
      <c r="S57" s="124"/>
      <c r="T57" s="124"/>
      <c r="U57" s="124"/>
      <c r="V57" s="124"/>
      <c r="W57" s="124"/>
      <c r="X57" s="124"/>
      <c r="Y57" s="124"/>
      <c r="Z57" s="124"/>
      <c r="AA57" s="124"/>
      <c r="AB57" s="140"/>
      <c r="AC57" s="140"/>
      <c r="AD57" s="140"/>
      <c r="AE57" s="140"/>
      <c r="AF57" s="140"/>
      <c r="AG57" s="140"/>
      <c r="AH57" s="140"/>
      <c r="AI57" s="140"/>
      <c r="AJ57" s="140"/>
      <c r="AK57" s="140"/>
    </row>
    <row r="58" spans="1:37" s="588" customFormat="1" ht="15.95" customHeight="1" x14ac:dyDescent="0.2">
      <c r="A58" s="141"/>
      <c r="B58" s="687" t="s">
        <v>289</v>
      </c>
      <c r="C58" s="687"/>
      <c r="D58" s="687"/>
      <c r="E58" s="124"/>
      <c r="F58" s="124"/>
      <c r="G58" s="124"/>
      <c r="H58" s="124"/>
      <c r="I58" s="124"/>
      <c r="J58" s="124"/>
      <c r="K58" s="124"/>
      <c r="L58" s="124"/>
      <c r="M58" s="124"/>
      <c r="N58" s="124"/>
      <c r="O58" s="124"/>
      <c r="P58" s="124"/>
      <c r="Q58" s="124"/>
      <c r="R58" s="124"/>
      <c r="S58" s="124"/>
      <c r="T58" s="124"/>
      <c r="U58" s="124"/>
      <c r="V58" s="124"/>
      <c r="W58" s="124"/>
      <c r="X58" s="124"/>
      <c r="Y58" s="124"/>
      <c r="Z58" s="124"/>
      <c r="AA58" s="124"/>
      <c r="AB58" s="140"/>
      <c r="AC58" s="140"/>
      <c r="AD58" s="140"/>
      <c r="AE58" s="140"/>
      <c r="AF58" s="140"/>
      <c r="AG58" s="140"/>
      <c r="AH58" s="140"/>
      <c r="AI58" s="140"/>
      <c r="AJ58" s="140"/>
      <c r="AK58" s="140"/>
    </row>
    <row r="59" spans="1:37" s="588" customFormat="1" ht="15.95" customHeight="1" x14ac:dyDescent="0.2">
      <c r="B59" s="682" t="s">
        <v>290</v>
      </c>
      <c r="C59" s="682"/>
      <c r="D59" s="682"/>
      <c r="E59" s="682"/>
      <c r="F59" s="682"/>
      <c r="G59" s="682"/>
      <c r="H59" s="682"/>
      <c r="I59" s="124"/>
      <c r="J59" s="124"/>
      <c r="K59" s="124"/>
      <c r="L59" s="124"/>
      <c r="M59" s="124"/>
      <c r="N59" s="124"/>
      <c r="O59" s="124"/>
      <c r="P59" s="124"/>
      <c r="Q59" s="124"/>
      <c r="R59" s="124"/>
      <c r="S59" s="124"/>
      <c r="T59" s="124"/>
      <c r="U59" s="124"/>
      <c r="V59" s="124"/>
      <c r="W59" s="124"/>
      <c r="X59" s="124"/>
      <c r="Y59" s="124"/>
      <c r="Z59" s="124"/>
      <c r="AA59" s="124"/>
      <c r="AB59" s="140"/>
      <c r="AC59" s="140"/>
      <c r="AD59" s="140"/>
      <c r="AE59" s="140"/>
      <c r="AF59" s="140"/>
      <c r="AG59" s="140"/>
      <c r="AH59" s="140"/>
      <c r="AI59" s="140"/>
      <c r="AJ59" s="140"/>
      <c r="AK59" s="140"/>
    </row>
    <row r="60" spans="1:37" s="233" customFormat="1" ht="15.95" customHeight="1" x14ac:dyDescent="0.2">
      <c r="A60" s="123"/>
      <c r="B60" s="143" t="s">
        <v>76</v>
      </c>
      <c r="C60" s="123"/>
      <c r="D60" s="123"/>
      <c r="E60" s="123"/>
      <c r="F60" s="123"/>
      <c r="G60" s="123"/>
      <c r="H60" s="123"/>
      <c r="I60" s="232"/>
      <c r="J60" s="232"/>
      <c r="K60" s="232"/>
      <c r="L60" s="232"/>
      <c r="M60" s="232"/>
      <c r="N60" s="232"/>
      <c r="O60" s="232"/>
      <c r="P60" s="232"/>
      <c r="Q60" s="232"/>
      <c r="R60" s="232"/>
      <c r="S60" s="232"/>
      <c r="T60" s="232"/>
      <c r="U60" s="232"/>
      <c r="V60" s="232"/>
      <c r="AA60" s="234"/>
      <c r="AB60" s="234"/>
      <c r="AC60" s="234"/>
      <c r="AD60" s="234"/>
      <c r="AE60" s="234"/>
    </row>
    <row r="61" spans="1:37" s="233" customFormat="1" ht="12.75" x14ac:dyDescent="0.2"/>
    <row r="62" spans="1:37" x14ac:dyDescent="0.25">
      <c r="B62" s="694" t="s">
        <v>13</v>
      </c>
      <c r="C62" s="695"/>
      <c r="D62" s="695"/>
      <c r="E62" s="695"/>
      <c r="F62" s="695"/>
      <c r="G62" s="695"/>
      <c r="H62" s="696"/>
    </row>
  </sheetData>
  <sheetProtection algorithmName="SHA-512" hashValue="nAe/d73DmI0fC0tlOscsrzwOb/OCx/jXkjaNzuV8k9CvK7UjPK3rgLsWe/4WzpCfXhySQcMa0U56Q6ZyBRactw==" saltValue="uFk5QaCFc2aWMu/nomKBNQ==" spinCount="100000" sheet="1" objects="1" scenarios="1" selectLockedCells="1"/>
  <mergeCells count="65">
    <mergeCell ref="A10:W10"/>
    <mergeCell ref="P16:P21"/>
    <mergeCell ref="V16:V21"/>
    <mergeCell ref="A45:I45"/>
    <mergeCell ref="A31:B31"/>
    <mergeCell ref="A29:O29"/>
    <mergeCell ref="J26:O26"/>
    <mergeCell ref="J27:O27"/>
    <mergeCell ref="T19:T21"/>
    <mergeCell ref="A15:O15"/>
    <mergeCell ref="A16:A21"/>
    <mergeCell ref="B16:B21"/>
    <mergeCell ref="C16:C21"/>
    <mergeCell ref="D16:D20"/>
    <mergeCell ref="I16:I21"/>
    <mergeCell ref="A1:W1"/>
    <mergeCell ref="A2:W2"/>
    <mergeCell ref="A3:W3"/>
    <mergeCell ref="A4:W4"/>
    <mergeCell ref="A9:W9"/>
    <mergeCell ref="J16:O16"/>
    <mergeCell ref="E17:E21"/>
    <mergeCell ref="H17:H20"/>
    <mergeCell ref="L17:L20"/>
    <mergeCell ref="M17:M20"/>
    <mergeCell ref="O17:O20"/>
    <mergeCell ref="G17:G21"/>
    <mergeCell ref="N17:N20"/>
    <mergeCell ref="E16:H16"/>
    <mergeCell ref="F17:F20"/>
    <mergeCell ref="AA34:AB34"/>
    <mergeCell ref="E42:F42"/>
    <mergeCell ref="E44:F44"/>
    <mergeCell ref="E40:F40"/>
    <mergeCell ref="B40:D40"/>
    <mergeCell ref="B39:F39"/>
    <mergeCell ref="B62:H62"/>
    <mergeCell ref="B58:D58"/>
    <mergeCell ref="B57:D57"/>
    <mergeCell ref="B56:I56"/>
    <mergeCell ref="B59:H59"/>
    <mergeCell ref="B53:P53"/>
    <mergeCell ref="B50:O50"/>
    <mergeCell ref="B47:O47"/>
    <mergeCell ref="E41:F41"/>
    <mergeCell ref="B52:O52"/>
    <mergeCell ref="B41:D41"/>
    <mergeCell ref="B42:D42"/>
    <mergeCell ref="A48:W48"/>
    <mergeCell ref="W16:W21"/>
    <mergeCell ref="R16:U16"/>
    <mergeCell ref="Q16:Q20"/>
    <mergeCell ref="R17:U17"/>
    <mergeCell ref="R18:R21"/>
    <mergeCell ref="S18:U18"/>
    <mergeCell ref="S19:S21"/>
    <mergeCell ref="U19:U21"/>
    <mergeCell ref="A14:F14"/>
    <mergeCell ref="G14:W14"/>
    <mergeCell ref="A11:F11"/>
    <mergeCell ref="G11:W11"/>
    <mergeCell ref="A12:F12"/>
    <mergeCell ref="G12:W12"/>
    <mergeCell ref="A13:F13"/>
    <mergeCell ref="G13:W13"/>
  </mergeCells>
  <printOptions horizontalCentered="1"/>
  <pageMargins left="7.874015748031496E-2" right="7.874015748031496E-2" top="1.1811023622047245" bottom="0.59055118110236227" header="0.59055118110236227" footer="0.19685039370078741"/>
  <pageSetup paperSize="9" scale="35" orientation="landscape" r:id="rId1"/>
  <headerFooter>
    <oddHeader>&amp;C&amp;"Arial,Negrito"&amp;16ANEXO IV-A
&amp;G&amp;R&amp;P</oddHeader>
    <oddFooter>&amp;L&amp;12SACCON/CPC/SECAD&amp;R&amp;12&amp;A
&amp;P/&amp;N</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0"/>
  <sheetViews>
    <sheetView showGridLines="0" view="pageBreakPreview" zoomScale="60" zoomScaleNormal="60" workbookViewId="0">
      <selection sqref="A1:O1"/>
    </sheetView>
  </sheetViews>
  <sheetFormatPr defaultRowHeight="15" x14ac:dyDescent="0.25"/>
  <cols>
    <col min="1" max="1" width="8.7109375" style="122" customWidth="1"/>
    <col min="2" max="2" width="28.7109375" style="122" customWidth="1"/>
    <col min="3" max="4" width="15.7109375" style="122" customWidth="1"/>
    <col min="5" max="7" width="20.7109375" style="122" customWidth="1"/>
    <col min="8" max="8" width="15.7109375" style="122" customWidth="1"/>
    <col min="9" max="9" width="20.7109375" style="122" customWidth="1"/>
    <col min="10" max="11" width="18.7109375" style="122" customWidth="1"/>
    <col min="12" max="15" width="15.7109375" style="122" customWidth="1"/>
    <col min="16" max="17" width="16.7109375" style="122" customWidth="1"/>
    <col min="18" max="18" width="19.7109375" style="122" customWidth="1"/>
    <col min="19" max="22" width="16.7109375" style="122" customWidth="1"/>
    <col min="23" max="23" width="18.7109375" style="122" customWidth="1"/>
    <col min="24" max="24" width="17.7109375" style="122" customWidth="1"/>
    <col min="25" max="25" width="20.7109375" style="122" customWidth="1"/>
    <col min="26" max="16384" width="9.140625" style="122"/>
  </cols>
  <sheetData>
    <row r="1" spans="1:30" ht="20.100000000000001" customHeight="1" x14ac:dyDescent="0.25">
      <c r="A1" s="777" t="str">
        <f>POSTOS!A1:W1</f>
        <v>TRIBUNAL REGIONAL ELEITORAL DO PARANÁ</v>
      </c>
      <c r="B1" s="777"/>
      <c r="C1" s="777"/>
      <c r="D1" s="777"/>
      <c r="E1" s="777"/>
      <c r="F1" s="777"/>
      <c r="G1" s="777"/>
      <c r="H1" s="777"/>
      <c r="I1" s="777"/>
      <c r="J1" s="777"/>
      <c r="K1" s="777"/>
      <c r="L1" s="777"/>
      <c r="M1" s="777"/>
      <c r="N1" s="777"/>
      <c r="O1" s="777"/>
      <c r="P1" s="370"/>
      <c r="Q1" s="370"/>
      <c r="R1" s="370"/>
      <c r="S1" s="370"/>
      <c r="T1" s="370"/>
      <c r="U1" s="370"/>
      <c r="V1" s="370"/>
      <c r="W1" s="370"/>
      <c r="X1" s="370"/>
      <c r="Y1" s="370"/>
    </row>
    <row r="2" spans="1:30" ht="20.100000000000001" customHeight="1" x14ac:dyDescent="0.25">
      <c r="A2" s="778" t="str">
        <f>POSTOS!A2:W2</f>
        <v>PLANILHA DE FORMAÇÃO DE CUSTOS E PREÇOS - Proposta Detalhada</v>
      </c>
      <c r="B2" s="778"/>
      <c r="C2" s="778"/>
      <c r="D2" s="778"/>
      <c r="E2" s="778"/>
      <c r="F2" s="778"/>
      <c r="G2" s="778"/>
      <c r="H2" s="778"/>
      <c r="I2" s="778"/>
      <c r="J2" s="778"/>
      <c r="K2" s="778"/>
      <c r="L2" s="778"/>
      <c r="M2" s="778"/>
      <c r="N2" s="778"/>
      <c r="O2" s="778"/>
      <c r="P2" s="241"/>
      <c r="Q2" s="241"/>
      <c r="R2" s="241"/>
      <c r="S2" s="241"/>
      <c r="T2" s="241"/>
      <c r="U2" s="241"/>
      <c r="V2" s="241"/>
      <c r="W2" s="241"/>
      <c r="X2" s="241"/>
      <c r="Y2" s="241"/>
    </row>
    <row r="3" spans="1:30" ht="20.100000000000001" customHeight="1" x14ac:dyDescent="0.25">
      <c r="A3" s="779" t="str">
        <f>POSTOS!A3:W3</f>
        <v>Apoio Operacional Especializado - Encarregado e Auxiliar de Almoxarifado, e Marceneiro</v>
      </c>
      <c r="B3" s="779"/>
      <c r="C3" s="779"/>
      <c r="D3" s="779"/>
      <c r="E3" s="779"/>
      <c r="F3" s="779"/>
      <c r="G3" s="779"/>
      <c r="H3" s="779"/>
      <c r="I3" s="779"/>
      <c r="J3" s="779"/>
      <c r="K3" s="779"/>
      <c r="L3" s="779"/>
      <c r="M3" s="779"/>
      <c r="N3" s="779"/>
      <c r="O3" s="779"/>
      <c r="P3" s="241"/>
      <c r="Q3" s="241"/>
      <c r="R3" s="241"/>
      <c r="S3" s="241"/>
      <c r="T3" s="241"/>
      <c r="U3" s="241"/>
      <c r="V3" s="241"/>
      <c r="W3" s="241"/>
      <c r="X3" s="241"/>
      <c r="Y3" s="241"/>
    </row>
    <row r="4" spans="1:30" ht="20.100000000000001" customHeight="1" x14ac:dyDescent="0.25">
      <c r="A4" s="724"/>
      <c r="B4" s="724"/>
      <c r="C4" s="724"/>
      <c r="D4" s="724"/>
      <c r="E4" s="724"/>
      <c r="F4" s="724"/>
      <c r="G4" s="724"/>
      <c r="H4" s="724"/>
      <c r="I4" s="724"/>
      <c r="J4" s="724"/>
      <c r="K4" s="724"/>
      <c r="L4" s="724"/>
      <c r="M4" s="724"/>
      <c r="N4" s="724"/>
      <c r="O4" s="724"/>
      <c r="P4" s="241"/>
      <c r="Q4" s="241"/>
      <c r="R4" s="241"/>
      <c r="S4" s="241"/>
      <c r="T4" s="241"/>
      <c r="U4" s="241"/>
      <c r="V4" s="241"/>
      <c r="W4" s="241"/>
      <c r="X4" s="241"/>
      <c r="Y4" s="241"/>
    </row>
    <row r="5" spans="1:30" ht="15.95" customHeight="1" x14ac:dyDescent="0.25">
      <c r="A5" s="225"/>
      <c r="B5" s="363"/>
      <c r="C5" s="364"/>
      <c r="D5" s="362"/>
      <c r="E5" s="225"/>
      <c r="F5" s="225"/>
      <c r="G5" s="225"/>
      <c r="J5" s="590"/>
      <c r="K5" s="590"/>
      <c r="L5" s="590"/>
      <c r="M5" s="590" t="str">
        <f>POSTOS!N5</f>
        <v>PAD n.:</v>
      </c>
      <c r="N5" s="227" t="str">
        <f>POSTOS!O5</f>
        <v>14148/2023</v>
      </c>
      <c r="O5" s="225"/>
      <c r="P5" s="225"/>
      <c r="Q5" s="225"/>
      <c r="R5" s="225"/>
      <c r="S5" s="225"/>
      <c r="T5" s="225"/>
      <c r="U5" s="225"/>
      <c r="V5" s="225"/>
    </row>
    <row r="6" spans="1:30" ht="15.95" customHeight="1" x14ac:dyDescent="0.25">
      <c r="A6" s="225"/>
      <c r="B6" s="226"/>
      <c r="C6" s="226"/>
      <c r="D6" s="226"/>
      <c r="E6" s="225"/>
      <c r="F6" s="225"/>
      <c r="G6" s="225"/>
      <c r="J6" s="590"/>
      <c r="K6" s="590"/>
      <c r="L6" s="783" t="str">
        <f>POSTOS!N6</f>
        <v>Licitação n.:</v>
      </c>
      <c r="M6" s="784"/>
      <c r="N6" s="464">
        <f>POSTOS!O6</f>
        <v>0</v>
      </c>
      <c r="O6" s="225"/>
      <c r="P6" s="225"/>
      <c r="Q6" s="225"/>
      <c r="R6" s="225"/>
      <c r="S6" s="225"/>
      <c r="T6" s="225"/>
      <c r="U6" s="225"/>
      <c r="V6" s="225"/>
    </row>
    <row r="7" spans="1:30" ht="15.95" customHeight="1" x14ac:dyDescent="0.25">
      <c r="A7" s="225"/>
      <c r="B7" s="226"/>
      <c r="C7" s="226"/>
      <c r="D7" s="226"/>
      <c r="H7" s="228"/>
      <c r="J7" s="306"/>
      <c r="K7" s="306"/>
      <c r="L7" s="306"/>
      <c r="M7" s="229" t="str">
        <f>POSTOS!N7</f>
        <v>Data da Proposta:</v>
      </c>
      <c r="N7" s="465">
        <f>POSTOS!O7</f>
        <v>0</v>
      </c>
      <c r="O7" s="225"/>
      <c r="P7" s="225"/>
      <c r="Q7" s="225"/>
      <c r="R7" s="225"/>
      <c r="S7" s="225"/>
      <c r="T7" s="225"/>
      <c r="U7" s="225"/>
      <c r="V7" s="225"/>
    </row>
    <row r="8" spans="1:30" ht="15.95" customHeight="1" x14ac:dyDescent="0.25">
      <c r="A8" s="226"/>
      <c r="B8" s="230"/>
      <c r="C8" s="230"/>
      <c r="D8" s="230"/>
      <c r="E8" s="230"/>
      <c r="F8" s="230"/>
      <c r="G8" s="230"/>
      <c r="H8" s="230"/>
      <c r="I8" s="230"/>
      <c r="J8" s="230"/>
      <c r="K8" s="230"/>
      <c r="L8" s="230"/>
      <c r="M8" s="230"/>
      <c r="N8" s="230"/>
      <c r="O8" s="230"/>
      <c r="P8" s="230"/>
      <c r="Q8" s="230"/>
      <c r="R8" s="230"/>
      <c r="S8" s="230"/>
      <c r="T8" s="230"/>
      <c r="U8" s="230"/>
      <c r="V8" s="230"/>
      <c r="W8" s="230"/>
      <c r="X8" s="230"/>
      <c r="Y8" s="230"/>
    </row>
    <row r="9" spans="1:30" s="250" customFormat="1" ht="20.100000000000001" customHeight="1" x14ac:dyDescent="0.2">
      <c r="A9" s="780" t="str">
        <f>POSTOS!A9:W9</f>
        <v>NOME DA EMPRESA</v>
      </c>
      <c r="B9" s="781"/>
      <c r="C9" s="781"/>
      <c r="D9" s="781"/>
      <c r="E9" s="781"/>
      <c r="F9" s="781"/>
      <c r="G9" s="781"/>
      <c r="H9" s="781"/>
      <c r="I9" s="781"/>
      <c r="J9" s="781"/>
      <c r="K9" s="781"/>
      <c r="L9" s="781"/>
      <c r="M9" s="781"/>
      <c r="N9" s="781"/>
      <c r="O9" s="782"/>
      <c r="P9" s="249"/>
      <c r="Q9" s="249"/>
      <c r="R9" s="249"/>
      <c r="S9" s="249"/>
      <c r="T9" s="249"/>
      <c r="U9" s="249"/>
      <c r="V9" s="249"/>
      <c r="W9" s="249"/>
      <c r="X9" s="249"/>
      <c r="Y9" s="249"/>
    </row>
    <row r="10" spans="1:30" s="250" customFormat="1" ht="20.100000000000001" customHeight="1" x14ac:dyDescent="0.2">
      <c r="A10" s="774" t="str">
        <f>POSTOS!A10:W10</f>
        <v>CNPJ</v>
      </c>
      <c r="B10" s="775"/>
      <c r="C10" s="775"/>
      <c r="D10" s="775"/>
      <c r="E10" s="775"/>
      <c r="F10" s="775"/>
      <c r="G10" s="775"/>
      <c r="H10" s="775"/>
      <c r="I10" s="775"/>
      <c r="J10" s="775"/>
      <c r="K10" s="775"/>
      <c r="L10" s="775"/>
      <c r="M10" s="775"/>
      <c r="N10" s="775"/>
      <c r="O10" s="776"/>
      <c r="P10" s="249"/>
      <c r="Q10" s="249"/>
      <c r="R10" s="249"/>
      <c r="S10" s="249"/>
      <c r="T10" s="249"/>
      <c r="U10" s="249"/>
      <c r="V10" s="249"/>
      <c r="W10" s="249"/>
      <c r="X10" s="249"/>
      <c r="Y10" s="249"/>
    </row>
    <row r="11" spans="1:30" s="588" customFormat="1" ht="15.95" customHeight="1" x14ac:dyDescent="0.25">
      <c r="A11" s="307"/>
      <c r="B11" s="307"/>
      <c r="C11" s="307"/>
      <c r="D11" s="307"/>
      <c r="E11" s="214"/>
      <c r="F11" s="214"/>
      <c r="G11" s="214"/>
      <c r="H11" s="308"/>
      <c r="I11" s="309"/>
      <c r="J11" s="315"/>
      <c r="K11" s="310"/>
      <c r="L11" s="215"/>
      <c r="M11" s="480"/>
      <c r="N11" s="481"/>
      <c r="O11" s="482"/>
      <c r="P11" s="124"/>
      <c r="Q11" s="458"/>
      <c r="R11" s="459"/>
      <c r="S11" s="131"/>
      <c r="T11" s="131"/>
      <c r="U11" s="131"/>
      <c r="V11" s="131"/>
      <c r="W11" s="131"/>
      <c r="X11" s="131"/>
      <c r="Y11" s="131"/>
      <c r="Z11" s="131"/>
      <c r="AA11" s="131"/>
      <c r="AB11" s="131"/>
      <c r="AC11" s="131"/>
      <c r="AD11" s="131"/>
    </row>
    <row r="12" spans="1:30" s="588" customFormat="1" ht="30" customHeight="1" thickBot="1" x14ac:dyDescent="0.3">
      <c r="A12" s="768" t="s">
        <v>324</v>
      </c>
      <c r="B12" s="768"/>
      <c r="C12" s="768"/>
      <c r="D12" s="768"/>
      <c r="E12" s="768"/>
      <c r="F12" s="768"/>
      <c r="G12" s="768"/>
      <c r="H12" s="768"/>
      <c r="I12" s="768"/>
      <c r="J12" s="768"/>
      <c r="K12" s="768"/>
      <c r="L12" s="768"/>
      <c r="M12" s="768"/>
      <c r="N12" s="768"/>
      <c r="O12" s="468"/>
      <c r="P12" s="124"/>
      <c r="Q12" s="124"/>
      <c r="R12" s="124"/>
      <c r="S12" s="124"/>
      <c r="T12" s="124"/>
      <c r="U12" s="125"/>
      <c r="V12" s="126"/>
      <c r="W12" s="126"/>
      <c r="X12" s="126"/>
      <c r="Y12" s="126"/>
      <c r="Z12" s="126"/>
      <c r="AA12" s="126"/>
      <c r="AB12" s="126"/>
      <c r="AC12" s="126"/>
      <c r="AD12" s="126"/>
    </row>
    <row r="13" spans="1:30" s="588" customFormat="1" ht="45" customHeight="1" thickTop="1" x14ac:dyDescent="0.2">
      <c r="A13" s="470" t="str">
        <f>POSTOS!A16</f>
        <v>Subitem</v>
      </c>
      <c r="B13" s="471" t="str">
        <f>POSTOS!B16</f>
        <v>Descrição</v>
      </c>
      <c r="C13" s="472" t="str">
        <f>POSTOS!C16</f>
        <v>CBO de Referência</v>
      </c>
      <c r="D13" s="473" t="str">
        <f>POSTOS!D33</f>
        <v>Jornada Semanal</v>
      </c>
      <c r="E13" s="473" t="str">
        <f>POSTOS!E33</f>
        <v>Alocação</v>
      </c>
      <c r="F13" s="473" t="str">
        <f>POSTOS!F33</f>
        <v>VALOR UNITÁRIO MENSAL</v>
      </c>
      <c r="G13" s="473" t="str">
        <f>POSTOS!G33</f>
        <v>Valor Pro Rata Die 
(VUM / 30)</v>
      </c>
      <c r="H13" s="473" t="str">
        <f>POSTOS!H33</f>
        <v>Quantidade de Postos</v>
      </c>
      <c r="I13" s="473" t="str">
        <f>POSTOS!I33</f>
        <v>VALOR MENSAL</v>
      </c>
      <c r="J13" s="473" t="str">
        <f>POSTOS!J33</f>
        <v>Início da Vigência</v>
      </c>
      <c r="K13" s="473" t="str">
        <f>POSTOS!K33</f>
        <v>Fim da Vigência</v>
      </c>
      <c r="L13" s="473" t="str">
        <f>POSTOS!L33</f>
        <v>Meses (cheios)</v>
      </c>
      <c r="M13" s="473" t="str">
        <f>POSTOS!M33</f>
        <v>Dias</v>
      </c>
      <c r="N13" s="769" t="str">
        <f>POSTOS!N33:O33</f>
        <v>Valor Máximo Estimado</v>
      </c>
      <c r="O13" s="770"/>
      <c r="P13" s="124"/>
      <c r="Q13" s="456"/>
      <c r="R13" s="456"/>
      <c r="S13" s="129"/>
      <c r="T13" s="130"/>
      <c r="U13" s="130"/>
      <c r="V13" s="416"/>
      <c r="W13" s="416"/>
      <c r="X13" s="416"/>
      <c r="Y13" s="416"/>
      <c r="Z13" s="416"/>
      <c r="AA13" s="416"/>
      <c r="AB13" s="416"/>
      <c r="AC13" s="416"/>
      <c r="AD13" s="416"/>
    </row>
    <row r="14" spans="1:30" s="588" customFormat="1" ht="30" customHeight="1" x14ac:dyDescent="0.2">
      <c r="A14" s="424">
        <f>POSTOS!A22</f>
        <v>1</v>
      </c>
      <c r="B14" s="427" t="str">
        <f>POSTOS!B34</f>
        <v>Encarregado de Almoxarifado</v>
      </c>
      <c r="C14" s="424" t="str">
        <f>POSTOS!C34</f>
        <v>4102-05</v>
      </c>
      <c r="D14" s="424">
        <f>POSTOS!D34</f>
        <v>44</v>
      </c>
      <c r="E14" s="424" t="str">
        <f>POSTOS!E34</f>
        <v>Curitiba/PR</v>
      </c>
      <c r="F14" s="466">
        <f>POSTOS!F34</f>
        <v>0</v>
      </c>
      <c r="G14" s="466">
        <f>POSTOS!G34</f>
        <v>0</v>
      </c>
      <c r="H14" s="424">
        <v>2</v>
      </c>
      <c r="I14" s="419">
        <f>F14*H14</f>
        <v>0</v>
      </c>
      <c r="J14" s="424">
        <f>POSTOS!J34</f>
        <v>0</v>
      </c>
      <c r="K14" s="424">
        <f>POSTOS!K34</f>
        <v>0</v>
      </c>
      <c r="L14" s="424">
        <f>POSTOS!L34</f>
        <v>30</v>
      </c>
      <c r="M14" s="424">
        <f>POSTOS!M34</f>
        <v>0</v>
      </c>
      <c r="N14" s="763">
        <f>(I14*L14)+(G14*H14*M14)</f>
        <v>0</v>
      </c>
      <c r="O14" s="764"/>
      <c r="P14" s="124"/>
      <c r="Q14" s="162"/>
      <c r="R14" s="457"/>
      <c r="S14" s="697"/>
      <c r="T14" s="698"/>
      <c r="U14" s="416"/>
      <c r="V14" s="416"/>
      <c r="W14" s="416"/>
      <c r="X14" s="416"/>
      <c r="Y14" s="416"/>
      <c r="Z14" s="416"/>
      <c r="AA14" s="416"/>
      <c r="AB14" s="416"/>
      <c r="AC14" s="416"/>
      <c r="AD14" s="416"/>
    </row>
    <row r="15" spans="1:30" s="588" customFormat="1" ht="30" customHeight="1" x14ac:dyDescent="0.2">
      <c r="A15" s="417">
        <f>POSTOS!A23</f>
        <v>2</v>
      </c>
      <c r="B15" s="428" t="str">
        <f>POSTOS!B35</f>
        <v>Auxiliar de Almoxarifado</v>
      </c>
      <c r="C15" s="417" t="str">
        <f>POSTOS!C35</f>
        <v>4141-05</v>
      </c>
      <c r="D15" s="417">
        <f>POSTOS!D35</f>
        <v>44</v>
      </c>
      <c r="E15" s="417" t="str">
        <f>POSTOS!E35</f>
        <v>Curitiba/PR</v>
      </c>
      <c r="F15" s="467">
        <f>POSTOS!F35</f>
        <v>0</v>
      </c>
      <c r="G15" s="467">
        <f>POSTOS!G35</f>
        <v>0</v>
      </c>
      <c r="H15" s="417">
        <v>4</v>
      </c>
      <c r="I15" s="419">
        <f>F15*H15</f>
        <v>0</v>
      </c>
      <c r="J15" s="417">
        <f>POSTOS!J35</f>
        <v>0</v>
      </c>
      <c r="K15" s="417">
        <f>POSTOS!K35</f>
        <v>0</v>
      </c>
      <c r="L15" s="417">
        <f>POSTOS!L35</f>
        <v>30</v>
      </c>
      <c r="M15" s="417">
        <f>POSTOS!M35</f>
        <v>0</v>
      </c>
      <c r="N15" s="763">
        <f t="shared" ref="N15:N16" si="0">(I15*L15)+(G15*H15*M15)</f>
        <v>0</v>
      </c>
      <c r="O15" s="764"/>
      <c r="P15" s="124"/>
      <c r="Q15" s="162"/>
      <c r="R15" s="457"/>
      <c r="S15" s="587"/>
      <c r="U15" s="416"/>
      <c r="V15" s="416"/>
      <c r="W15" s="416"/>
      <c r="X15" s="416"/>
      <c r="Y15" s="416"/>
      <c r="Z15" s="416"/>
      <c r="AA15" s="416"/>
      <c r="AB15" s="416"/>
      <c r="AC15" s="416"/>
      <c r="AD15" s="416"/>
    </row>
    <row r="16" spans="1:30" s="588" customFormat="1" ht="30" customHeight="1" thickBot="1" x14ac:dyDescent="0.25">
      <c r="A16" s="417">
        <f>POSTOS!A24</f>
        <v>3</v>
      </c>
      <c r="B16" s="428" t="str">
        <f>POSTOS!B36</f>
        <v>Marceneiro</v>
      </c>
      <c r="C16" s="417" t="str">
        <f>POSTOS!C36</f>
        <v>7711-05</v>
      </c>
      <c r="D16" s="417">
        <f>POSTOS!D36</f>
        <v>44</v>
      </c>
      <c r="E16" s="417" t="str">
        <f>POSTOS!E36</f>
        <v>Curitiba/PR</v>
      </c>
      <c r="F16" s="467">
        <f>POSTOS!F36</f>
        <v>0</v>
      </c>
      <c r="G16" s="467">
        <f>POSTOS!G36</f>
        <v>0</v>
      </c>
      <c r="H16" s="417">
        <f>POSTOS!H36</f>
        <v>1</v>
      </c>
      <c r="I16" s="419">
        <f>F16*H16</f>
        <v>0</v>
      </c>
      <c r="J16" s="417">
        <f>POSTOS!J36</f>
        <v>0</v>
      </c>
      <c r="K16" s="417">
        <f>POSTOS!K36</f>
        <v>0</v>
      </c>
      <c r="L16" s="417">
        <f>POSTOS!L36</f>
        <v>30</v>
      </c>
      <c r="M16" s="417">
        <f>POSTOS!M36</f>
        <v>0</v>
      </c>
      <c r="N16" s="763">
        <f t="shared" si="0"/>
        <v>0</v>
      </c>
      <c r="O16" s="764"/>
      <c r="P16" s="124"/>
      <c r="Q16" s="162"/>
      <c r="R16" s="457"/>
      <c r="S16" s="416"/>
      <c r="T16" s="416"/>
      <c r="U16" s="416"/>
      <c r="V16" s="416"/>
      <c r="W16" s="416"/>
      <c r="X16" s="416"/>
      <c r="Y16" s="416"/>
      <c r="Z16" s="416"/>
      <c r="AA16" s="416"/>
      <c r="AB16" s="416"/>
      <c r="AC16" s="416"/>
      <c r="AD16" s="416"/>
    </row>
    <row r="17" spans="1:36" s="588" customFormat="1" ht="30" customHeight="1" thickBot="1" x14ac:dyDescent="0.25">
      <c r="A17" s="420"/>
      <c r="B17" s="420"/>
      <c r="C17" s="420"/>
      <c r="D17" s="420"/>
      <c r="E17" s="421"/>
      <c r="F17" s="421"/>
      <c r="H17" s="327">
        <f>SUM(H14:H16)</f>
        <v>7</v>
      </c>
      <c r="I17" s="455">
        <f>SUM(I14:I16)</f>
        <v>0</v>
      </c>
      <c r="J17" s="390"/>
      <c r="K17" s="422"/>
      <c r="L17" s="423"/>
      <c r="M17" s="479" t="s">
        <v>312</v>
      </c>
      <c r="N17" s="765">
        <f>SUM(N14:O16)</f>
        <v>0</v>
      </c>
      <c r="O17" s="766"/>
      <c r="P17" s="124"/>
      <c r="Q17" s="162"/>
      <c r="R17" s="457"/>
      <c r="S17" s="416"/>
      <c r="T17" s="416"/>
      <c r="U17" s="416"/>
      <c r="V17" s="416"/>
      <c r="W17" s="416"/>
      <c r="X17" s="416"/>
      <c r="Y17" s="416"/>
      <c r="Z17" s="416"/>
      <c r="AA17" s="416"/>
      <c r="AB17" s="416"/>
      <c r="AC17" s="416"/>
      <c r="AD17" s="416"/>
    </row>
    <row r="18" spans="1:36" s="588" customFormat="1" ht="15.95" customHeight="1" x14ac:dyDescent="0.25">
      <c r="A18" s="311"/>
      <c r="B18" s="311"/>
      <c r="C18" s="311"/>
      <c r="D18" s="311"/>
      <c r="E18" s="217"/>
      <c r="F18" s="217"/>
      <c r="G18" s="217"/>
      <c r="H18" s="303"/>
      <c r="I18" s="304"/>
      <c r="J18" s="316"/>
      <c r="K18" s="312"/>
      <c r="L18" s="219"/>
      <c r="M18" s="302"/>
      <c r="N18" s="431"/>
      <c r="O18" s="124"/>
      <c r="P18" s="124"/>
      <c r="Q18" s="458"/>
      <c r="R18" s="459"/>
      <c r="S18" s="131"/>
      <c r="T18" s="131"/>
      <c r="U18" s="131"/>
      <c r="V18" s="131"/>
      <c r="W18" s="131"/>
      <c r="X18" s="131"/>
      <c r="Y18" s="131"/>
      <c r="Z18" s="131"/>
      <c r="AA18" s="131"/>
      <c r="AB18" s="131"/>
      <c r="AC18" s="131"/>
      <c r="AD18" s="131"/>
    </row>
    <row r="19" spans="1:36" s="588" customFormat="1" ht="30" customHeight="1" thickBot="1" x14ac:dyDescent="0.3">
      <c r="A19" s="771" t="s">
        <v>325</v>
      </c>
      <c r="B19" s="771"/>
      <c r="C19" s="771"/>
      <c r="D19" s="771"/>
      <c r="E19" s="771"/>
      <c r="F19" s="771"/>
      <c r="G19" s="771"/>
      <c r="H19" s="771"/>
      <c r="I19" s="771"/>
      <c r="J19" s="771"/>
      <c r="K19" s="771"/>
      <c r="L19" s="771"/>
      <c r="M19" s="771"/>
      <c r="N19" s="771"/>
      <c r="O19" s="469"/>
      <c r="P19" s="124"/>
      <c r="Q19" s="124"/>
      <c r="R19" s="124"/>
      <c r="S19" s="124"/>
      <c r="T19" s="124"/>
      <c r="U19" s="125"/>
      <c r="V19" s="126"/>
      <c r="W19" s="126"/>
      <c r="X19" s="126"/>
      <c r="Y19" s="126"/>
      <c r="Z19" s="126"/>
      <c r="AA19" s="126"/>
      <c r="AB19" s="126"/>
      <c r="AC19" s="126"/>
      <c r="AD19" s="126"/>
    </row>
    <row r="20" spans="1:36" s="588" customFormat="1" ht="45" customHeight="1" thickTop="1" x14ac:dyDescent="0.2">
      <c r="A20" s="474" t="str">
        <f>POSTOS!A16</f>
        <v>Subitem</v>
      </c>
      <c r="B20" s="474" t="str">
        <f>POSTOS!B16</f>
        <v>Descrição</v>
      </c>
      <c r="C20" s="475" t="str">
        <f>POSTOS!C16</f>
        <v>CBO de Referência</v>
      </c>
      <c r="D20" s="476" t="str">
        <f>POSTOS!D33</f>
        <v>Jornada Semanal</v>
      </c>
      <c r="E20" s="476" t="str">
        <f>POSTOS!E33</f>
        <v>Alocação</v>
      </c>
      <c r="F20" s="476" t="str">
        <f>POSTOS!F33</f>
        <v>VALOR UNITÁRIO MENSAL</v>
      </c>
      <c r="G20" s="476" t="str">
        <f>POSTOS!G33</f>
        <v>Valor Pro Rata Die 
(VUM / 30)</v>
      </c>
      <c r="H20" s="476" t="str">
        <f>POSTOS!H33</f>
        <v>Quantidade de Postos</v>
      </c>
      <c r="I20" s="476" t="str">
        <f>POSTOS!I33</f>
        <v>VALOR MENSAL</v>
      </c>
      <c r="J20" s="476" t="str">
        <f>POSTOS!J33</f>
        <v>Início da Vigência</v>
      </c>
      <c r="K20" s="476" t="str">
        <f>POSTOS!K33</f>
        <v>Fim da Vigência</v>
      </c>
      <c r="L20" s="476" t="str">
        <f>POSTOS!L33</f>
        <v>Meses (cheios)</v>
      </c>
      <c r="M20" s="476" t="str">
        <f>POSTOS!M33</f>
        <v>Dias</v>
      </c>
      <c r="N20" s="772" t="str">
        <f>POSTOS!N33:O33</f>
        <v>Valor Máximo Estimado</v>
      </c>
      <c r="O20" s="773"/>
      <c r="P20" s="124"/>
      <c r="Q20" s="456"/>
      <c r="R20" s="456"/>
      <c r="S20" s="129"/>
      <c r="T20" s="130"/>
      <c r="U20" s="130"/>
      <c r="V20" s="416"/>
      <c r="W20" s="416"/>
      <c r="X20" s="416"/>
      <c r="Y20" s="416"/>
      <c r="Z20" s="416"/>
      <c r="AA20" s="416"/>
      <c r="AB20" s="416"/>
      <c r="AC20" s="416"/>
      <c r="AD20" s="416"/>
    </row>
    <row r="21" spans="1:36" s="588" customFormat="1" ht="30" customHeight="1" x14ac:dyDescent="0.2">
      <c r="A21" s="424">
        <f>POSTOS!A34</f>
        <v>1</v>
      </c>
      <c r="B21" s="427" t="str">
        <f>POSTOS!B34</f>
        <v>Encarregado de Almoxarifado</v>
      </c>
      <c r="C21" s="424" t="str">
        <f>POSTOS!C34</f>
        <v>4102-05</v>
      </c>
      <c r="D21" s="424">
        <f>POSTOS!D34</f>
        <v>44</v>
      </c>
      <c r="E21" s="424" t="str">
        <f>POSTOS!E34</f>
        <v>Curitiba/PR</v>
      </c>
      <c r="F21" s="477">
        <f>POSTOS!F34</f>
        <v>0</v>
      </c>
      <c r="G21" s="477">
        <f>POSTOS!G34</f>
        <v>0</v>
      </c>
      <c r="H21" s="424">
        <v>1</v>
      </c>
      <c r="I21" s="419">
        <f>F21*H21</f>
        <v>0</v>
      </c>
      <c r="J21" s="424">
        <f>POSTOS!J34</f>
        <v>0</v>
      </c>
      <c r="K21" s="424">
        <f>POSTOS!K34</f>
        <v>0</v>
      </c>
      <c r="L21" s="424">
        <f>POSTOS!L34</f>
        <v>30</v>
      </c>
      <c r="M21" s="424">
        <f>POSTOS!M34</f>
        <v>0</v>
      </c>
      <c r="N21" s="763">
        <f>(I21*L21)+(G21*H21*M21)</f>
        <v>0</v>
      </c>
      <c r="O21" s="764"/>
      <c r="P21" s="124"/>
      <c r="Q21" s="162"/>
      <c r="R21" s="457"/>
      <c r="S21" s="697"/>
      <c r="T21" s="698"/>
      <c r="U21" s="416"/>
      <c r="V21" s="416"/>
      <c r="W21" s="416"/>
      <c r="X21" s="416"/>
      <c r="Y21" s="416"/>
      <c r="Z21" s="416"/>
      <c r="AA21" s="416"/>
      <c r="AB21" s="416"/>
      <c r="AC21" s="416"/>
      <c r="AD21" s="416"/>
    </row>
    <row r="22" spans="1:36" s="588" customFormat="1" ht="30" customHeight="1" thickBot="1" x14ac:dyDescent="0.25">
      <c r="A22" s="424">
        <f>POSTOS!A35</f>
        <v>2</v>
      </c>
      <c r="B22" s="427" t="str">
        <f>POSTOS!B35</f>
        <v>Auxiliar de Almoxarifado</v>
      </c>
      <c r="C22" s="424" t="str">
        <f>POSTOS!C35</f>
        <v>4141-05</v>
      </c>
      <c r="D22" s="424">
        <f>POSTOS!D35</f>
        <v>44</v>
      </c>
      <c r="E22" s="424" t="str">
        <f>POSTOS!E35</f>
        <v>Curitiba/PR</v>
      </c>
      <c r="F22" s="477">
        <f>POSTOS!F35</f>
        <v>0</v>
      </c>
      <c r="G22" s="477">
        <f>POSTOS!G35</f>
        <v>0</v>
      </c>
      <c r="H22" s="424">
        <v>2</v>
      </c>
      <c r="I22" s="419">
        <f>F22*H22</f>
        <v>0</v>
      </c>
      <c r="J22" s="424">
        <f>POSTOS!J35</f>
        <v>0</v>
      </c>
      <c r="K22" s="424">
        <f>POSTOS!K35</f>
        <v>0</v>
      </c>
      <c r="L22" s="424">
        <f>POSTOS!L35</f>
        <v>30</v>
      </c>
      <c r="M22" s="424">
        <f>POSTOS!M35</f>
        <v>0</v>
      </c>
      <c r="N22" s="763">
        <f t="shared" ref="N22" si="1">(I22*L22)+(G22*H22*M22)</f>
        <v>0</v>
      </c>
      <c r="O22" s="764"/>
      <c r="P22" s="124"/>
      <c r="Q22" s="162"/>
      <c r="R22" s="457"/>
      <c r="S22" s="587"/>
      <c r="U22" s="416"/>
      <c r="V22" s="416"/>
      <c r="W22" s="416"/>
      <c r="X22" s="416"/>
      <c r="Y22" s="416"/>
      <c r="Z22" s="416"/>
      <c r="AA22" s="416"/>
      <c r="AB22" s="416"/>
      <c r="AC22" s="416"/>
      <c r="AD22" s="416"/>
    </row>
    <row r="23" spans="1:36" s="588" customFormat="1" ht="30" customHeight="1" thickBot="1" x14ac:dyDescent="0.25">
      <c r="A23" s="420"/>
      <c r="B23" s="420"/>
      <c r="C23" s="420"/>
      <c r="D23" s="420"/>
      <c r="E23" s="421"/>
      <c r="F23" s="421"/>
      <c r="H23" s="327">
        <f>SUM(H21:H22)</f>
        <v>3</v>
      </c>
      <c r="I23" s="455">
        <f>SUM(I21:I22)</f>
        <v>0</v>
      </c>
      <c r="J23" s="390"/>
      <c r="K23" s="422"/>
      <c r="L23" s="423"/>
      <c r="M23" s="479" t="s">
        <v>313</v>
      </c>
      <c r="N23" s="765">
        <f>SUM(N21:O22)</f>
        <v>0</v>
      </c>
      <c r="O23" s="766"/>
      <c r="P23" s="124"/>
      <c r="Q23" s="162"/>
      <c r="R23" s="457"/>
      <c r="S23" s="416"/>
      <c r="T23" s="416"/>
      <c r="U23" s="416"/>
      <c r="V23" s="416"/>
      <c r="W23" s="416"/>
      <c r="X23" s="416"/>
      <c r="Y23" s="416"/>
      <c r="Z23" s="416"/>
      <c r="AA23" s="416"/>
      <c r="AB23" s="416"/>
      <c r="AC23" s="416"/>
      <c r="AD23" s="416"/>
    </row>
    <row r="24" spans="1:36" s="588" customFormat="1" ht="15.95" customHeight="1" x14ac:dyDescent="0.25">
      <c r="A24" s="311"/>
      <c r="B24" s="311"/>
      <c r="C24" s="311"/>
      <c r="D24" s="311"/>
      <c r="E24" s="217"/>
      <c r="F24" s="217"/>
      <c r="G24" s="217"/>
      <c r="H24" s="303"/>
      <c r="I24" s="304"/>
      <c r="J24" s="316"/>
      <c r="K24" s="312"/>
      <c r="L24" s="219"/>
      <c r="M24" s="302"/>
      <c r="N24" s="431"/>
      <c r="O24" s="124"/>
      <c r="P24" s="124"/>
      <c r="Q24" s="458"/>
      <c r="R24" s="459"/>
      <c r="S24" s="131"/>
      <c r="T24" s="131"/>
      <c r="U24" s="131"/>
      <c r="V24" s="131"/>
      <c r="W24" s="131"/>
      <c r="X24" s="131"/>
      <c r="Y24" s="131"/>
      <c r="Z24" s="131"/>
      <c r="AA24" s="131"/>
      <c r="AB24" s="131"/>
      <c r="AC24" s="131"/>
      <c r="AD24" s="131"/>
    </row>
    <row r="25" spans="1:36" s="588" customFormat="1" ht="30" customHeight="1" x14ac:dyDescent="0.25">
      <c r="A25" s="216"/>
      <c r="B25" s="216"/>
      <c r="C25" s="216"/>
      <c r="D25" s="216"/>
      <c r="E25" s="217"/>
      <c r="F25" s="217"/>
      <c r="G25" s="217"/>
      <c r="H25" s="303"/>
      <c r="I25" s="304"/>
      <c r="J25" s="305"/>
      <c r="K25" s="218"/>
      <c r="L25" s="219"/>
      <c r="M25" s="478" t="s">
        <v>311</v>
      </c>
      <c r="N25" s="763">
        <f>N17+N23</f>
        <v>0</v>
      </c>
      <c r="O25" s="764"/>
      <c r="P25" s="219"/>
      <c r="Q25" s="460"/>
      <c r="R25" s="461"/>
      <c r="S25" s="131"/>
      <c r="T25" s="131"/>
      <c r="U25" s="131"/>
      <c r="V25" s="131"/>
      <c r="W25" s="131"/>
      <c r="X25" s="131"/>
      <c r="Y25" s="131"/>
      <c r="Z25" s="131"/>
      <c r="AA25" s="131"/>
      <c r="AB25" s="131"/>
      <c r="AC25" s="131"/>
      <c r="AD25" s="131"/>
    </row>
    <row r="26" spans="1:36" x14ac:dyDescent="0.25">
      <c r="N26" s="767" t="s">
        <v>315</v>
      </c>
      <c r="O26" s="767"/>
    </row>
    <row r="27" spans="1:36" s="124" customFormat="1" ht="30" customHeight="1" thickBot="1" x14ac:dyDescent="0.3">
      <c r="A27" s="762" t="s">
        <v>63</v>
      </c>
      <c r="B27" s="762"/>
      <c r="C27" s="762"/>
      <c r="D27" s="762"/>
      <c r="E27" s="762"/>
      <c r="F27" s="762"/>
      <c r="G27" s="762"/>
      <c r="H27" s="762"/>
      <c r="I27" s="762"/>
      <c r="J27" s="762"/>
      <c r="K27" s="762"/>
      <c r="L27" s="762"/>
      <c r="M27" s="762"/>
      <c r="N27" s="762"/>
      <c r="O27" s="317"/>
      <c r="AA27" s="235"/>
      <c r="AB27" s="236"/>
      <c r="AC27" s="236"/>
      <c r="AD27" s="236"/>
      <c r="AE27" s="236"/>
      <c r="AF27" s="236"/>
      <c r="AG27" s="236"/>
      <c r="AH27" s="236"/>
      <c r="AI27" s="236"/>
      <c r="AJ27" s="236"/>
    </row>
    <row r="28" spans="1:36" s="588" customFormat="1" ht="15" customHeight="1" thickTop="1" x14ac:dyDescent="0.2">
      <c r="A28" s="584"/>
      <c r="B28" s="231"/>
      <c r="C28" s="584"/>
      <c r="D28" s="584"/>
      <c r="E28" s="584"/>
      <c r="F28" s="584"/>
      <c r="G28" s="584"/>
      <c r="H28" s="584"/>
      <c r="I28" s="584"/>
      <c r="J28" s="584"/>
      <c r="K28" s="584"/>
      <c r="L28" s="584"/>
      <c r="M28" s="584"/>
      <c r="N28" s="584"/>
      <c r="O28" s="584"/>
      <c r="P28" s="584"/>
      <c r="Q28" s="584"/>
      <c r="R28" s="584"/>
      <c r="S28" s="584"/>
      <c r="T28" s="584"/>
      <c r="U28" s="584"/>
      <c r="V28" s="584"/>
      <c r="W28" s="584"/>
      <c r="X28" s="584"/>
      <c r="Y28" s="584"/>
      <c r="Z28" s="140"/>
      <c r="AA28" s="140"/>
      <c r="AB28" s="140"/>
      <c r="AC28" s="140"/>
      <c r="AD28" s="140"/>
      <c r="AE28" s="140"/>
      <c r="AF28" s="140"/>
      <c r="AG28" s="140"/>
      <c r="AH28" s="140"/>
      <c r="AI28" s="140"/>
    </row>
    <row r="29" spans="1:36" s="588" customFormat="1" ht="15.95" customHeight="1" x14ac:dyDescent="0.2">
      <c r="A29" s="584"/>
      <c r="B29" s="683" t="s">
        <v>310</v>
      </c>
      <c r="C29" s="683"/>
      <c r="D29" s="683"/>
      <c r="E29" s="683"/>
      <c r="F29" s="683"/>
      <c r="G29" s="683"/>
      <c r="H29" s="683"/>
      <c r="I29" s="683"/>
      <c r="J29" s="683"/>
      <c r="K29" s="683"/>
      <c r="L29" s="683"/>
      <c r="M29" s="683"/>
      <c r="N29" s="683"/>
      <c r="O29" s="584"/>
      <c r="P29" s="584"/>
      <c r="Q29" s="584"/>
      <c r="R29" s="584"/>
      <c r="S29" s="584"/>
      <c r="T29" s="584"/>
      <c r="U29" s="584"/>
      <c r="V29" s="584"/>
      <c r="W29" s="584"/>
      <c r="X29" s="584"/>
      <c r="Y29" s="584"/>
      <c r="Z29" s="140"/>
      <c r="AA29" s="140"/>
      <c r="AB29" s="140"/>
      <c r="AC29" s="140"/>
      <c r="AD29" s="140"/>
      <c r="AE29" s="140"/>
      <c r="AF29" s="140"/>
      <c r="AG29" s="140"/>
      <c r="AH29" s="140"/>
      <c r="AI29" s="140"/>
    </row>
    <row r="30" spans="1:36" s="588" customFormat="1" ht="15.95" customHeight="1" x14ac:dyDescent="0.2">
      <c r="A30" s="584"/>
      <c r="B30" s="559" t="s">
        <v>430</v>
      </c>
      <c r="C30" s="585"/>
      <c r="D30" s="585"/>
      <c r="E30" s="585"/>
      <c r="F30" s="585"/>
      <c r="G30" s="585"/>
      <c r="H30" s="585"/>
      <c r="I30" s="585"/>
      <c r="J30" s="585"/>
      <c r="K30" s="585"/>
      <c r="L30" s="585"/>
      <c r="M30" s="585"/>
      <c r="N30" s="585"/>
      <c r="O30" s="584"/>
      <c r="P30" s="584"/>
      <c r="Q30" s="584"/>
      <c r="R30" s="584"/>
      <c r="S30" s="584"/>
      <c r="T30" s="584"/>
      <c r="U30" s="584"/>
      <c r="V30" s="584"/>
      <c r="W30" s="584"/>
      <c r="X30" s="584"/>
      <c r="Y30" s="584"/>
      <c r="Z30" s="140"/>
      <c r="AA30" s="140"/>
      <c r="AB30" s="140"/>
      <c r="AC30" s="140"/>
      <c r="AD30" s="140"/>
      <c r="AE30" s="140"/>
      <c r="AF30" s="140"/>
      <c r="AG30" s="140"/>
      <c r="AH30" s="140"/>
      <c r="AI30" s="140"/>
    </row>
  </sheetData>
  <sheetProtection algorithmName="SHA-512" hashValue="+Ov2GzzK9wom6INV6QQINAG2vIuMlb5AzrNhu6lz8dkbPlSFl+R0qhqa7Cdn5D3Lp5inSMVrEZUNIfaLT7S8zA==" saltValue="LxegDcQFGG9Wmf+fKrpjlg==" spinCount="100000" sheet="1" objects="1" scenarios="1"/>
  <mergeCells count="24">
    <mergeCell ref="A10:O10"/>
    <mergeCell ref="A1:O1"/>
    <mergeCell ref="A2:O2"/>
    <mergeCell ref="A3:O3"/>
    <mergeCell ref="A4:O4"/>
    <mergeCell ref="A9:O9"/>
    <mergeCell ref="L6:M6"/>
    <mergeCell ref="A12:N12"/>
    <mergeCell ref="N13:O13"/>
    <mergeCell ref="N14:O14"/>
    <mergeCell ref="A19:N19"/>
    <mergeCell ref="N20:O20"/>
    <mergeCell ref="A27:N27"/>
    <mergeCell ref="B29:N29"/>
    <mergeCell ref="S14:T14"/>
    <mergeCell ref="N15:O15"/>
    <mergeCell ref="N16:O16"/>
    <mergeCell ref="N17:O17"/>
    <mergeCell ref="N21:O21"/>
    <mergeCell ref="S21:T21"/>
    <mergeCell ref="N22:O22"/>
    <mergeCell ref="N23:O23"/>
    <mergeCell ref="N25:O25"/>
    <mergeCell ref="N26:O26"/>
  </mergeCells>
  <printOptions horizontalCentered="1"/>
  <pageMargins left="0.51181102362204722" right="0.51181102362204722" top="0.78740157480314965" bottom="0.78740157480314965" header="0.31496062992125984" footer="0.31496062992125984"/>
  <pageSetup paperSize="9" scale="51" orientation="landscape" r:id="rId1"/>
  <headerFooter>
    <oddFooter>&amp;LSACCON/CPC/SECAD&amp;R&amp;A
&amp;P/&amp;N</oddFooter>
  </headerFooter>
  <extLst>
    <ext xmlns:x14="http://schemas.microsoft.com/office/spreadsheetml/2009/9/main" uri="{78C0D931-6437-407d-A8EE-F0AAD7539E65}">
      <x14:conditionalFormattings>
        <x14:conditionalFormatting xmlns:xm="http://schemas.microsoft.com/office/excel/2006/main">
          <x14:cfRule type="cellIs" priority="4" operator="notEqual" id="{7D103E5D-6BBF-48D0-8F8E-E3F88B3D35C0}">
            <xm:f>POSTOS!$N$37</xm:f>
            <x14:dxf>
              <fill>
                <patternFill>
                  <bgColor rgb="FFFF0000"/>
                </patternFill>
              </fill>
            </x14:dxf>
          </x14:cfRule>
          <xm:sqref>N25:O25</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J92"/>
  <sheetViews>
    <sheetView showGridLines="0" view="pageBreakPreview" zoomScaleNormal="100" zoomScaleSheetLayoutView="100" workbookViewId="0">
      <selection activeCell="F8" sqref="F8"/>
    </sheetView>
  </sheetViews>
  <sheetFormatPr defaultRowHeight="12.75" x14ac:dyDescent="0.2"/>
  <cols>
    <col min="1" max="5" width="9.7109375" style="371" customWidth="1"/>
    <col min="6" max="6" width="12.28515625" style="371" bestFit="1" customWidth="1"/>
    <col min="7" max="8" width="44.7109375" style="371" customWidth="1"/>
    <col min="9" max="10" width="15.7109375" style="371" customWidth="1"/>
    <col min="11" max="16384" width="9.140625" style="371"/>
  </cols>
  <sheetData>
    <row r="1" spans="1:8" ht="18.75" x14ac:dyDescent="0.2">
      <c r="A1" s="834" t="str">
        <f>POSTOS!A1</f>
        <v>TRIBUNAL REGIONAL ELEITORAL DO PARANÁ</v>
      </c>
      <c r="B1" s="834"/>
      <c r="C1" s="834"/>
      <c r="D1" s="834"/>
      <c r="E1" s="834"/>
      <c r="F1" s="834"/>
      <c r="G1" s="834"/>
      <c r="H1" s="834"/>
    </row>
    <row r="2" spans="1:8" ht="15.75" x14ac:dyDescent="0.2">
      <c r="A2" s="835" t="str">
        <f>POSTOS!A2</f>
        <v>PLANILHA DE FORMAÇÃO DE CUSTOS E PREÇOS - Proposta Detalhada</v>
      </c>
      <c r="B2" s="835"/>
      <c r="C2" s="835"/>
      <c r="D2" s="835"/>
      <c r="E2" s="835"/>
      <c r="F2" s="835"/>
      <c r="G2" s="835"/>
      <c r="H2" s="835"/>
    </row>
    <row r="3" spans="1:8" ht="15.75" x14ac:dyDescent="0.2">
      <c r="A3" s="836" t="str">
        <f>POSTOS!A3</f>
        <v>Apoio Operacional Especializado - Encarregado e Auxiliar de Almoxarifado, e Marceneiro</v>
      </c>
      <c r="B3" s="836"/>
      <c r="C3" s="836"/>
      <c r="D3" s="836"/>
      <c r="E3" s="836"/>
      <c r="F3" s="836"/>
      <c r="G3" s="836"/>
      <c r="H3" s="836"/>
    </row>
    <row r="4" spans="1:8" x14ac:dyDescent="0.2">
      <c r="A4" s="4"/>
      <c r="B4" s="4"/>
      <c r="C4" s="4"/>
      <c r="D4" s="4"/>
      <c r="E4" s="4"/>
      <c r="F4" s="4"/>
      <c r="G4" s="4"/>
      <c r="H4" s="4"/>
    </row>
    <row r="5" spans="1:8" x14ac:dyDescent="0.2">
      <c r="A5" s="837" t="str">
        <f>POSTOS!A9</f>
        <v>NOME DA EMPRESA</v>
      </c>
      <c r="B5" s="838"/>
      <c r="C5" s="838"/>
      <c r="D5" s="838"/>
      <c r="E5" s="838"/>
      <c r="F5" s="838"/>
      <c r="G5" s="838"/>
      <c r="H5" s="839"/>
    </row>
    <row r="6" spans="1:8" x14ac:dyDescent="0.2">
      <c r="A6" s="840" t="str">
        <f>POSTOS!A10</f>
        <v>CNPJ</v>
      </c>
      <c r="B6" s="841"/>
      <c r="C6" s="841"/>
      <c r="D6" s="841"/>
      <c r="E6" s="841"/>
      <c r="F6" s="841"/>
      <c r="G6" s="841"/>
      <c r="H6" s="842"/>
    </row>
    <row r="7" spans="1:8" ht="13.5" thickBot="1" x14ac:dyDescent="0.25">
      <c r="A7" s="594"/>
      <c r="B7" s="594"/>
      <c r="C7" s="594"/>
      <c r="D7" s="594"/>
      <c r="E7" s="594"/>
      <c r="F7" s="594"/>
      <c r="G7" s="594"/>
      <c r="H7" s="5" t="s">
        <v>78</v>
      </c>
    </row>
    <row r="8" spans="1:8" ht="13.5" thickTop="1" x14ac:dyDescent="0.2">
      <c r="A8" s="843" t="s">
        <v>33</v>
      </c>
      <c r="B8" s="844"/>
      <c r="C8" s="844"/>
      <c r="D8" s="844"/>
      <c r="E8" s="845"/>
      <c r="F8" s="624"/>
      <c r="G8" s="6" t="s">
        <v>15</v>
      </c>
      <c r="H8" s="7" t="s">
        <v>79</v>
      </c>
    </row>
    <row r="9" spans="1:8" x14ac:dyDescent="0.2">
      <c r="A9" s="846"/>
      <c r="B9" s="847"/>
      <c r="C9" s="847"/>
      <c r="D9" s="847"/>
      <c r="E9" s="848"/>
      <c r="F9" s="624"/>
      <c r="G9" s="6" t="s">
        <v>16</v>
      </c>
      <c r="H9" s="8" t="s">
        <v>80</v>
      </c>
    </row>
    <row r="10" spans="1:8" ht="13.5" thickBot="1" x14ac:dyDescent="0.25">
      <c r="A10" s="594"/>
      <c r="B10" s="594"/>
      <c r="C10" s="594"/>
      <c r="D10" s="594"/>
      <c r="E10" s="594"/>
      <c r="F10" s="594"/>
      <c r="G10" s="594"/>
      <c r="H10" s="594"/>
    </row>
    <row r="11" spans="1:8" ht="13.5" thickBot="1" x14ac:dyDescent="0.25">
      <c r="A11" s="849" t="s">
        <v>7</v>
      </c>
      <c r="B11" s="850"/>
      <c r="C11" s="850"/>
      <c r="D11" s="850"/>
      <c r="E11" s="850"/>
      <c r="F11" s="850"/>
      <c r="G11" s="850"/>
      <c r="H11" s="851"/>
    </row>
    <row r="12" spans="1:8" x14ac:dyDescent="0.2">
      <c r="A12" s="9"/>
      <c r="B12" s="9"/>
      <c r="C12" s="9"/>
      <c r="D12" s="9"/>
      <c r="E12" s="9"/>
      <c r="F12" s="10"/>
      <c r="G12" s="11"/>
      <c r="H12" s="11"/>
    </row>
    <row r="13" spans="1:8" ht="18" thickBot="1" x14ac:dyDescent="0.35">
      <c r="A13" s="804" t="s">
        <v>34</v>
      </c>
      <c r="B13" s="804"/>
      <c r="C13" s="804"/>
      <c r="D13" s="804"/>
      <c r="E13" s="804"/>
      <c r="F13" s="804"/>
      <c r="G13" s="804"/>
      <c r="H13" s="12"/>
    </row>
    <row r="14" spans="1:8" ht="13.5" thickTop="1" x14ac:dyDescent="0.2">
      <c r="A14" s="594"/>
      <c r="B14" s="594"/>
      <c r="C14" s="594"/>
      <c r="D14" s="594"/>
      <c r="E14" s="594"/>
      <c r="F14" s="13" t="s">
        <v>6</v>
      </c>
      <c r="G14" s="13" t="s">
        <v>35</v>
      </c>
      <c r="H14" s="13" t="s">
        <v>36</v>
      </c>
    </row>
    <row r="15" spans="1:8" x14ac:dyDescent="0.2">
      <c r="A15" s="805" t="s">
        <v>0</v>
      </c>
      <c r="B15" s="806"/>
      <c r="C15" s="806"/>
      <c r="D15" s="806"/>
      <c r="E15" s="807"/>
      <c r="F15" s="625"/>
      <c r="G15" s="14" t="s">
        <v>37</v>
      </c>
      <c r="H15" s="497" t="s">
        <v>327</v>
      </c>
    </row>
    <row r="16" spans="1:8" x14ac:dyDescent="0.2">
      <c r="A16" s="805" t="s">
        <v>17</v>
      </c>
      <c r="B16" s="806"/>
      <c r="C16" s="806"/>
      <c r="D16" s="806"/>
      <c r="E16" s="807"/>
      <c r="F16" s="625"/>
      <c r="G16" s="14" t="s">
        <v>38</v>
      </c>
      <c r="H16" s="497" t="s">
        <v>328</v>
      </c>
    </row>
    <row r="17" spans="1:10" x14ac:dyDescent="0.2">
      <c r="A17" s="805" t="s">
        <v>1</v>
      </c>
      <c r="B17" s="806"/>
      <c r="C17" s="806"/>
      <c r="D17" s="806"/>
      <c r="E17" s="807"/>
      <c r="F17" s="625"/>
      <c r="G17" s="14" t="s">
        <v>39</v>
      </c>
      <c r="H17" s="497" t="s">
        <v>329</v>
      </c>
    </row>
    <row r="18" spans="1:10" x14ac:dyDescent="0.2">
      <c r="A18" s="805" t="s">
        <v>18</v>
      </c>
      <c r="B18" s="806"/>
      <c r="C18" s="806"/>
      <c r="D18" s="806"/>
      <c r="E18" s="807"/>
      <c r="F18" s="625"/>
      <c r="G18" s="14" t="s">
        <v>40</v>
      </c>
      <c r="H18" s="497" t="s">
        <v>330</v>
      </c>
    </row>
    <row r="19" spans="1:10" ht="22.5" x14ac:dyDescent="0.2">
      <c r="A19" s="805" t="s">
        <v>2</v>
      </c>
      <c r="B19" s="806"/>
      <c r="C19" s="806"/>
      <c r="D19" s="806"/>
      <c r="E19" s="807"/>
      <c r="F19" s="625"/>
      <c r="G19" s="14" t="s">
        <v>41</v>
      </c>
      <c r="H19" s="497" t="s">
        <v>331</v>
      </c>
    </row>
    <row r="20" spans="1:10" x14ac:dyDescent="0.2">
      <c r="A20" s="805" t="s">
        <v>4</v>
      </c>
      <c r="B20" s="806"/>
      <c r="C20" s="806"/>
      <c r="D20" s="806"/>
      <c r="E20" s="807"/>
      <c r="F20" s="625"/>
      <c r="G20" s="14" t="s">
        <v>42</v>
      </c>
      <c r="H20" s="497" t="s">
        <v>332</v>
      </c>
    </row>
    <row r="21" spans="1:10" ht="67.5" x14ac:dyDescent="0.2">
      <c r="A21" s="15" t="s">
        <v>65</v>
      </c>
      <c r="B21" s="626"/>
      <c r="C21" s="15" t="s">
        <v>66</v>
      </c>
      <c r="D21" s="627"/>
      <c r="E21" s="15" t="s">
        <v>67</v>
      </c>
      <c r="F21" s="248">
        <f>B21*D21</f>
        <v>0</v>
      </c>
      <c r="G21" s="16" t="s">
        <v>81</v>
      </c>
      <c r="H21" s="16" t="s">
        <v>139</v>
      </c>
    </row>
    <row r="22" spans="1:10" ht="23.25" thickBot="1" x14ac:dyDescent="0.25">
      <c r="A22" s="820" t="s">
        <v>3</v>
      </c>
      <c r="B22" s="820"/>
      <c r="C22" s="820"/>
      <c r="D22" s="820"/>
      <c r="E22" s="820"/>
      <c r="F22" s="628"/>
      <c r="G22" s="14" t="s">
        <v>43</v>
      </c>
      <c r="H22" s="497" t="s">
        <v>44</v>
      </c>
    </row>
    <row r="23" spans="1:10" ht="13.5" thickBot="1" x14ac:dyDescent="0.25">
      <c r="A23" s="797" t="s">
        <v>45</v>
      </c>
      <c r="B23" s="797"/>
      <c r="C23" s="797"/>
      <c r="D23" s="797"/>
      <c r="E23" s="798"/>
      <c r="F23" s="17">
        <f>SUM(F15:F22)</f>
        <v>0</v>
      </c>
      <c r="G23" s="18" t="s">
        <v>6</v>
      </c>
      <c r="H23" s="19"/>
    </row>
    <row r="24" spans="1:10" x14ac:dyDescent="0.2">
      <c r="A24" s="20"/>
      <c r="B24" s="20"/>
      <c r="C24" s="20"/>
      <c r="D24" s="20"/>
      <c r="E24" s="20"/>
      <c r="F24" s="10"/>
      <c r="G24" s="19"/>
      <c r="H24" s="19"/>
    </row>
    <row r="25" spans="1:10" ht="18" thickBot="1" x14ac:dyDescent="0.35">
      <c r="A25" s="592" t="s">
        <v>134</v>
      </c>
      <c r="B25" s="592"/>
      <c r="C25" s="592"/>
      <c r="D25" s="592"/>
      <c r="E25" s="592"/>
      <c r="F25" s="592"/>
      <c r="G25" s="592"/>
      <c r="H25" s="21"/>
    </row>
    <row r="26" spans="1:10" ht="13.5" thickTop="1" x14ac:dyDescent="0.2">
      <c r="A26" s="164"/>
      <c r="B26" s="164"/>
      <c r="C26" s="164"/>
      <c r="D26" s="164"/>
      <c r="E26" s="164"/>
      <c r="F26" s="13" t="s">
        <v>6</v>
      </c>
      <c r="G26" s="13" t="s">
        <v>35</v>
      </c>
      <c r="H26" s="13" t="s">
        <v>36</v>
      </c>
    </row>
    <row r="27" spans="1:10" ht="33.75" x14ac:dyDescent="0.2">
      <c r="A27" s="831" t="s">
        <v>20</v>
      </c>
      <c r="B27" s="832"/>
      <c r="C27" s="832"/>
      <c r="D27" s="832"/>
      <c r="E27" s="833"/>
      <c r="F27" s="540">
        <v>8.33</v>
      </c>
      <c r="G27" s="165" t="s">
        <v>82</v>
      </c>
      <c r="H27" s="184" t="s">
        <v>83</v>
      </c>
    </row>
    <row r="28" spans="1:10" x14ac:dyDescent="0.2">
      <c r="A28" s="828" t="s">
        <v>84</v>
      </c>
      <c r="B28" s="829"/>
      <c r="C28" s="829"/>
      <c r="D28" s="829"/>
      <c r="E28" s="830"/>
      <c r="F28" s="22">
        <f>F27</f>
        <v>8.33</v>
      </c>
      <c r="G28" s="166"/>
      <c r="H28" s="166"/>
    </row>
    <row r="29" spans="1:10" ht="13.5" thickBot="1" x14ac:dyDescent="0.25">
      <c r="A29" s="824" t="s">
        <v>85</v>
      </c>
      <c r="B29" s="825"/>
      <c r="C29" s="825"/>
      <c r="D29" s="825"/>
      <c r="E29" s="826"/>
      <c r="F29" s="23">
        <f>F28%*F23</f>
        <v>0</v>
      </c>
      <c r="G29" s="167" t="s">
        <v>140</v>
      </c>
      <c r="H29" s="168" t="s">
        <v>86</v>
      </c>
    </row>
    <row r="30" spans="1:10" ht="13.5" thickBot="1" x14ac:dyDescent="0.25">
      <c r="A30" s="827" t="s">
        <v>87</v>
      </c>
      <c r="B30" s="827"/>
      <c r="C30" s="827"/>
      <c r="D30" s="827"/>
      <c r="E30" s="827"/>
      <c r="F30" s="17">
        <f>F28+F29</f>
        <v>8.33</v>
      </c>
      <c r="G30" s="169" t="s">
        <v>6</v>
      </c>
      <c r="H30" s="170"/>
      <c r="I30" s="171"/>
      <c r="J30" s="171"/>
    </row>
    <row r="31" spans="1:10" x14ac:dyDescent="0.2">
      <c r="A31" s="143"/>
      <c r="B31" s="143"/>
      <c r="C31" s="143"/>
      <c r="D31" s="143"/>
      <c r="E31" s="143"/>
      <c r="F31" s="172"/>
      <c r="G31" s="173"/>
      <c r="H31" s="173"/>
    </row>
    <row r="32" spans="1:10" ht="18" thickBot="1" x14ac:dyDescent="0.35">
      <c r="A32" s="592" t="s">
        <v>135</v>
      </c>
      <c r="B32" s="592"/>
      <c r="C32" s="592"/>
      <c r="D32" s="592"/>
      <c r="E32" s="592"/>
      <c r="F32" s="592"/>
      <c r="G32" s="592"/>
      <c r="H32" s="21"/>
    </row>
    <row r="33" spans="1:9" ht="13.5" thickTop="1" x14ac:dyDescent="0.2">
      <c r="A33" s="164"/>
      <c r="B33" s="164"/>
      <c r="C33" s="164"/>
      <c r="D33" s="164"/>
      <c r="E33" s="164"/>
      <c r="F33" s="13" t="s">
        <v>6</v>
      </c>
      <c r="G33" s="13" t="s">
        <v>35</v>
      </c>
      <c r="H33" s="13" t="s">
        <v>36</v>
      </c>
    </row>
    <row r="34" spans="1:9" ht="33.75" x14ac:dyDescent="0.2">
      <c r="A34" s="831" t="s">
        <v>19</v>
      </c>
      <c r="B34" s="832"/>
      <c r="C34" s="832"/>
      <c r="D34" s="832"/>
      <c r="E34" s="833"/>
      <c r="F34" s="540">
        <v>2.78</v>
      </c>
      <c r="G34" s="165" t="s">
        <v>88</v>
      </c>
      <c r="H34" s="184" t="s">
        <v>89</v>
      </c>
    </row>
    <row r="35" spans="1:9" x14ac:dyDescent="0.2">
      <c r="A35" s="828" t="s">
        <v>90</v>
      </c>
      <c r="B35" s="829"/>
      <c r="C35" s="829"/>
      <c r="D35" s="829"/>
      <c r="E35" s="830"/>
      <c r="F35" s="22">
        <f>F34</f>
        <v>2.78</v>
      </c>
      <c r="G35" s="166"/>
      <c r="H35" s="166"/>
    </row>
    <row r="36" spans="1:9" ht="13.5" customHeight="1" thickBot="1" x14ac:dyDescent="0.25">
      <c r="A36" s="824" t="s">
        <v>91</v>
      </c>
      <c r="B36" s="825"/>
      <c r="C36" s="825"/>
      <c r="D36" s="825"/>
      <c r="E36" s="826"/>
      <c r="F36" s="23">
        <f>F35%*F23</f>
        <v>0</v>
      </c>
      <c r="G36" s="167" t="s">
        <v>140</v>
      </c>
      <c r="H36" s="168" t="s">
        <v>92</v>
      </c>
    </row>
    <row r="37" spans="1:9" ht="13.5" thickBot="1" x14ac:dyDescent="0.25">
      <c r="A37" s="827" t="s">
        <v>93</v>
      </c>
      <c r="B37" s="827"/>
      <c r="C37" s="827"/>
      <c r="D37" s="827"/>
      <c r="E37" s="827"/>
      <c r="F37" s="17">
        <f>F35+F36</f>
        <v>2.78</v>
      </c>
      <c r="G37" s="169" t="s">
        <v>6</v>
      </c>
      <c r="H37" s="170"/>
    </row>
    <row r="38" spans="1:9" x14ac:dyDescent="0.2">
      <c r="A38" s="174"/>
      <c r="B38" s="174"/>
      <c r="C38" s="174"/>
      <c r="D38" s="174"/>
      <c r="E38" s="174"/>
      <c r="F38" s="175"/>
      <c r="G38" s="176"/>
      <c r="H38" s="177"/>
    </row>
    <row r="39" spans="1:9" ht="18" thickBot="1" x14ac:dyDescent="0.35">
      <c r="A39" s="592" t="s">
        <v>136</v>
      </c>
      <c r="B39" s="592"/>
      <c r="C39" s="592"/>
      <c r="D39" s="592"/>
      <c r="E39" s="592"/>
      <c r="F39" s="592"/>
      <c r="G39" s="592"/>
      <c r="H39" s="21"/>
    </row>
    <row r="40" spans="1:9" ht="13.5" thickTop="1" x14ac:dyDescent="0.2">
      <c r="A40" s="594"/>
      <c r="B40" s="594"/>
      <c r="C40" s="594"/>
      <c r="D40" s="594"/>
      <c r="E40" s="594"/>
      <c r="F40" s="13" t="s">
        <v>6</v>
      </c>
      <c r="G40" s="13" t="s">
        <v>35</v>
      </c>
      <c r="H40" s="13" t="s">
        <v>36</v>
      </c>
    </row>
    <row r="41" spans="1:9" ht="78.75" x14ac:dyDescent="0.2">
      <c r="A41" s="805" t="s">
        <v>21</v>
      </c>
      <c r="B41" s="806"/>
      <c r="C41" s="806"/>
      <c r="D41" s="806"/>
      <c r="E41" s="807"/>
      <c r="F41" s="629"/>
      <c r="G41" s="24" t="s">
        <v>49</v>
      </c>
      <c r="H41" s="630" t="s">
        <v>184</v>
      </c>
    </row>
    <row r="42" spans="1:9" x14ac:dyDescent="0.2">
      <c r="A42" s="817" t="s">
        <v>94</v>
      </c>
      <c r="B42" s="818"/>
      <c r="C42" s="818"/>
      <c r="D42" s="818"/>
      <c r="E42" s="819"/>
      <c r="F42" s="25">
        <f>SUM(F41:F41)</f>
        <v>0</v>
      </c>
      <c r="G42" s="26"/>
      <c r="H42" s="26"/>
    </row>
    <row r="43" spans="1:9" ht="13.5" thickBot="1" x14ac:dyDescent="0.25">
      <c r="A43" s="820" t="s">
        <v>95</v>
      </c>
      <c r="B43" s="820"/>
      <c r="C43" s="820"/>
      <c r="D43" s="820"/>
      <c r="E43" s="820"/>
      <c r="F43" s="66">
        <f>ROUND((F30+F37)*F42/100,2)</f>
        <v>0</v>
      </c>
      <c r="G43" s="27" t="s">
        <v>96</v>
      </c>
      <c r="H43" s="27" t="s">
        <v>97</v>
      </c>
    </row>
    <row r="44" spans="1:9" ht="13.5" thickBot="1" x14ac:dyDescent="0.25">
      <c r="A44" s="797" t="s">
        <v>98</v>
      </c>
      <c r="B44" s="797"/>
      <c r="C44" s="797"/>
      <c r="D44" s="797"/>
      <c r="E44" s="798"/>
      <c r="F44" s="17">
        <f>SUM(F42:F43)</f>
        <v>0</v>
      </c>
      <c r="G44" s="18" t="s">
        <v>6</v>
      </c>
      <c r="H44" s="19"/>
      <c r="I44" s="171"/>
    </row>
    <row r="45" spans="1:9" x14ac:dyDescent="0.2">
      <c r="A45" s="174"/>
      <c r="B45" s="174"/>
      <c r="C45" s="174"/>
      <c r="D45" s="174"/>
      <c r="E45" s="174"/>
      <c r="F45" s="175"/>
      <c r="G45" s="176"/>
      <c r="H45" s="177"/>
    </row>
    <row r="46" spans="1:9" ht="18" thickBot="1" x14ac:dyDescent="0.35">
      <c r="A46" s="592" t="s">
        <v>99</v>
      </c>
      <c r="B46" s="592"/>
      <c r="C46" s="592"/>
      <c r="D46" s="592"/>
      <c r="E46" s="592"/>
      <c r="F46" s="592"/>
      <c r="G46" s="592"/>
      <c r="H46" s="21"/>
    </row>
    <row r="47" spans="1:9" ht="13.5" thickTop="1" x14ac:dyDescent="0.2">
      <c r="A47" s="594"/>
      <c r="B47" s="594"/>
      <c r="C47" s="594"/>
      <c r="D47" s="594"/>
      <c r="E47" s="594"/>
      <c r="F47" s="13" t="s">
        <v>6</v>
      </c>
      <c r="G47" s="13" t="s">
        <v>35</v>
      </c>
      <c r="H47" s="13" t="s">
        <v>36</v>
      </c>
    </row>
    <row r="48" spans="1:9" ht="78.75" x14ac:dyDescent="0.2">
      <c r="A48" s="805" t="s">
        <v>100</v>
      </c>
      <c r="B48" s="806"/>
      <c r="C48" s="806"/>
      <c r="D48" s="806"/>
      <c r="E48" s="807"/>
      <c r="F48" s="631"/>
      <c r="G48" s="14" t="s">
        <v>46</v>
      </c>
      <c r="H48" s="632" t="s">
        <v>225</v>
      </c>
    </row>
    <row r="49" spans="1:9" x14ac:dyDescent="0.2">
      <c r="A49" s="805" t="s">
        <v>101</v>
      </c>
      <c r="B49" s="806"/>
      <c r="C49" s="806"/>
      <c r="D49" s="806"/>
      <c r="E49" s="807"/>
      <c r="F49" s="23">
        <f>F48*8%</f>
        <v>0</v>
      </c>
      <c r="G49" s="14" t="s">
        <v>47</v>
      </c>
      <c r="H49" s="29" t="s">
        <v>102</v>
      </c>
    </row>
    <row r="50" spans="1:9" ht="22.5" x14ac:dyDescent="0.2">
      <c r="A50" s="805" t="s">
        <v>103</v>
      </c>
      <c r="B50" s="806"/>
      <c r="C50" s="806"/>
      <c r="D50" s="806"/>
      <c r="E50" s="807"/>
      <c r="F50" s="23">
        <f>IF(F48&gt;0,((5%*8%*40%)*100),0)</f>
        <v>0</v>
      </c>
      <c r="G50" s="16" t="s">
        <v>104</v>
      </c>
      <c r="H50" s="29" t="s">
        <v>105</v>
      </c>
    </row>
    <row r="51" spans="1:9" ht="90" x14ac:dyDescent="0.2">
      <c r="A51" s="805" t="s">
        <v>106</v>
      </c>
      <c r="B51" s="806"/>
      <c r="C51" s="806"/>
      <c r="D51" s="806"/>
      <c r="E51" s="807"/>
      <c r="F51" s="631"/>
      <c r="G51" s="14" t="s">
        <v>48</v>
      </c>
      <c r="H51" s="632" t="s">
        <v>226</v>
      </c>
    </row>
    <row r="52" spans="1:9" x14ac:dyDescent="0.2">
      <c r="A52" s="805" t="s">
        <v>107</v>
      </c>
      <c r="B52" s="806"/>
      <c r="C52" s="806"/>
      <c r="D52" s="806"/>
      <c r="E52" s="807"/>
      <c r="F52" s="23">
        <f>$F$23*F51%</f>
        <v>0</v>
      </c>
      <c r="G52" s="26" t="s">
        <v>141</v>
      </c>
      <c r="H52" s="26" t="s">
        <v>108</v>
      </c>
    </row>
    <row r="53" spans="1:9" x14ac:dyDescent="0.2">
      <c r="A53" s="817" t="s">
        <v>109</v>
      </c>
      <c r="B53" s="818"/>
      <c r="C53" s="818"/>
      <c r="D53" s="818"/>
      <c r="E53" s="819"/>
      <c r="F53" s="538">
        <f>SUM(F48:F52)</f>
        <v>0</v>
      </c>
      <c r="G53" s="26"/>
      <c r="H53" s="26"/>
    </row>
    <row r="54" spans="1:9" ht="34.5" thickBot="1" x14ac:dyDescent="0.25">
      <c r="A54" s="820" t="s">
        <v>95</v>
      </c>
      <c r="B54" s="820"/>
      <c r="C54" s="820"/>
      <c r="D54" s="820"/>
      <c r="E54" s="820"/>
      <c r="F54" s="539">
        <f>ROUND((F30+F37)*F53/100,4)</f>
        <v>0</v>
      </c>
      <c r="G54" s="27" t="s">
        <v>110</v>
      </c>
      <c r="H54" s="27" t="s">
        <v>111</v>
      </c>
    </row>
    <row r="55" spans="1:9" ht="13.5" thickBot="1" x14ac:dyDescent="0.25">
      <c r="A55" s="797" t="s">
        <v>50</v>
      </c>
      <c r="B55" s="797"/>
      <c r="C55" s="797"/>
      <c r="D55" s="797"/>
      <c r="E55" s="798"/>
      <c r="F55" s="294">
        <f>SUM(F53:F54)</f>
        <v>0</v>
      </c>
      <c r="G55" s="18" t="s">
        <v>6</v>
      </c>
      <c r="H55" s="19"/>
    </row>
    <row r="56" spans="1:9" x14ac:dyDescent="0.2">
      <c r="A56" s="31"/>
      <c r="B56" s="31"/>
      <c r="C56" s="31"/>
      <c r="D56" s="31"/>
      <c r="E56" s="31"/>
      <c r="F56" s="10"/>
      <c r="G56" s="11"/>
      <c r="H56" s="11"/>
    </row>
    <row r="57" spans="1:9" s="122" customFormat="1" ht="18" thickBot="1" x14ac:dyDescent="0.35">
      <c r="A57" s="804" t="s">
        <v>179</v>
      </c>
      <c r="B57" s="804"/>
      <c r="C57" s="804"/>
      <c r="D57" s="804"/>
      <c r="E57" s="804"/>
      <c r="F57" s="804"/>
      <c r="G57" s="804"/>
      <c r="H57" s="12"/>
    </row>
    <row r="58" spans="1:9" s="122" customFormat="1" ht="15.75" thickTop="1" x14ac:dyDescent="0.25">
      <c r="A58" s="164"/>
      <c r="B58" s="164"/>
      <c r="C58" s="164"/>
      <c r="D58" s="164"/>
      <c r="E58" s="164"/>
      <c r="F58" s="13" t="s">
        <v>6</v>
      </c>
      <c r="G58" s="13" t="s">
        <v>35</v>
      </c>
      <c r="H58" s="13" t="s">
        <v>36</v>
      </c>
    </row>
    <row r="59" spans="1:9" s="122" customFormat="1" ht="45" x14ac:dyDescent="0.25">
      <c r="A59" s="821" t="s">
        <v>112</v>
      </c>
      <c r="B59" s="822"/>
      <c r="C59" s="822"/>
      <c r="D59" s="822"/>
      <c r="E59" s="823"/>
      <c r="F59" s="499"/>
      <c r="G59" s="16" t="s">
        <v>113</v>
      </c>
      <c r="H59" s="498" t="s">
        <v>387</v>
      </c>
    </row>
    <row r="60" spans="1:9" s="122" customFormat="1" ht="15" x14ac:dyDescent="0.25">
      <c r="A60" s="814" t="s">
        <v>114</v>
      </c>
      <c r="B60" s="815"/>
      <c r="C60" s="815"/>
      <c r="D60" s="815"/>
      <c r="E60" s="816"/>
      <c r="F60" s="22">
        <f>SUM(F59:F59)</f>
        <v>0</v>
      </c>
      <c r="G60" s="178"/>
      <c r="H60" s="178"/>
    </row>
    <row r="61" spans="1:9" ht="26.25" customHeight="1" x14ac:dyDescent="0.2">
      <c r="A61" s="799" t="s">
        <v>115</v>
      </c>
      <c r="B61" s="800"/>
      <c r="C61" s="800"/>
      <c r="D61" s="800"/>
      <c r="E61" s="801"/>
      <c r="F61" s="23">
        <f>F60%*$F$23</f>
        <v>0</v>
      </c>
      <c r="G61" s="179" t="s">
        <v>142</v>
      </c>
      <c r="H61" s="180" t="s">
        <v>75</v>
      </c>
    </row>
    <row r="62" spans="1:9" ht="45.75" thickBot="1" x14ac:dyDescent="0.25">
      <c r="A62" s="802" t="s">
        <v>116</v>
      </c>
      <c r="B62" s="802"/>
      <c r="C62" s="802"/>
      <c r="D62" s="802"/>
      <c r="E62" s="802"/>
      <c r="F62" s="23">
        <f>ROUND(((F30+F37)+(F55+F44))*F60/100,2)</f>
        <v>0</v>
      </c>
      <c r="G62" s="181" t="s">
        <v>117</v>
      </c>
      <c r="H62" s="181" t="s">
        <v>118</v>
      </c>
    </row>
    <row r="63" spans="1:9" s="122" customFormat="1" ht="15.75" thickBot="1" x14ac:dyDescent="0.3">
      <c r="A63" s="803" t="s">
        <v>119</v>
      </c>
      <c r="B63" s="803"/>
      <c r="C63" s="803"/>
      <c r="D63" s="803"/>
      <c r="E63" s="803"/>
      <c r="F63" s="17">
        <f>F60+F61+F62</f>
        <v>0</v>
      </c>
      <c r="G63" s="177" t="s">
        <v>6</v>
      </c>
      <c r="H63" s="176"/>
    </row>
    <row r="64" spans="1:9" s="122" customFormat="1" ht="15" x14ac:dyDescent="0.25">
      <c r="A64" s="182"/>
      <c r="B64" s="182"/>
      <c r="C64" s="182"/>
      <c r="D64" s="182"/>
      <c r="E64" s="182"/>
      <c r="F64" s="183"/>
      <c r="G64" s="177"/>
      <c r="H64" s="176"/>
      <c r="I64" s="163"/>
    </row>
    <row r="65" spans="1:9" ht="18" thickBot="1" x14ac:dyDescent="0.35">
      <c r="A65" s="804" t="s">
        <v>120</v>
      </c>
      <c r="B65" s="804"/>
      <c r="C65" s="804"/>
      <c r="D65" s="804"/>
      <c r="E65" s="804"/>
      <c r="F65" s="804"/>
      <c r="G65" s="804"/>
      <c r="H65" s="12"/>
    </row>
    <row r="66" spans="1:9" ht="13.5" thickTop="1" x14ac:dyDescent="0.2">
      <c r="A66" s="594"/>
      <c r="B66" s="594"/>
      <c r="C66" s="594"/>
      <c r="D66" s="594"/>
      <c r="E66" s="594"/>
      <c r="F66" s="13" t="s">
        <v>6</v>
      </c>
      <c r="G66" s="13" t="s">
        <v>35</v>
      </c>
      <c r="H66" s="13" t="s">
        <v>36</v>
      </c>
    </row>
    <row r="67" spans="1:9" ht="69.95" customHeight="1" x14ac:dyDescent="0.2">
      <c r="A67" s="805" t="s">
        <v>121</v>
      </c>
      <c r="B67" s="806"/>
      <c r="C67" s="806"/>
      <c r="D67" s="806"/>
      <c r="E67" s="807"/>
      <c r="F67" s="499"/>
      <c r="G67" s="16" t="s">
        <v>187</v>
      </c>
      <c r="H67" s="498" t="s">
        <v>333</v>
      </c>
    </row>
    <row r="68" spans="1:9" ht="123.75" x14ac:dyDescent="0.2">
      <c r="A68" s="808" t="s">
        <v>122</v>
      </c>
      <c r="B68" s="809"/>
      <c r="C68" s="809"/>
      <c r="D68" s="809"/>
      <c r="E68" s="810"/>
      <c r="F68" s="499"/>
      <c r="G68" s="16" t="s">
        <v>188</v>
      </c>
      <c r="H68" s="498" t="s">
        <v>334</v>
      </c>
    </row>
    <row r="69" spans="1:9" ht="121.5" customHeight="1" x14ac:dyDescent="0.2">
      <c r="A69" s="805" t="s">
        <v>23</v>
      </c>
      <c r="B69" s="806"/>
      <c r="C69" s="806"/>
      <c r="D69" s="806"/>
      <c r="E69" s="807"/>
      <c r="F69" s="499"/>
      <c r="G69" s="184" t="s">
        <v>123</v>
      </c>
      <c r="H69" s="500" t="s">
        <v>436</v>
      </c>
    </row>
    <row r="70" spans="1:9" ht="33.75" x14ac:dyDescent="0.2">
      <c r="A70" s="805" t="s">
        <v>22</v>
      </c>
      <c r="B70" s="806"/>
      <c r="C70" s="806"/>
      <c r="D70" s="806"/>
      <c r="E70" s="807"/>
      <c r="F70" s="499"/>
      <c r="G70" s="14" t="s">
        <v>227</v>
      </c>
      <c r="H70" s="498" t="s">
        <v>335</v>
      </c>
    </row>
    <row r="71" spans="1:9" ht="90" x14ac:dyDescent="0.2">
      <c r="A71" s="805" t="s">
        <v>24</v>
      </c>
      <c r="B71" s="806"/>
      <c r="C71" s="806"/>
      <c r="D71" s="806"/>
      <c r="E71" s="807"/>
      <c r="F71" s="499"/>
      <c r="G71" s="14" t="s">
        <v>51</v>
      </c>
      <c r="H71" s="498" t="s">
        <v>336</v>
      </c>
    </row>
    <row r="72" spans="1:9" x14ac:dyDescent="0.2">
      <c r="A72" s="811" t="s">
        <v>124</v>
      </c>
      <c r="B72" s="812"/>
      <c r="C72" s="812"/>
      <c r="D72" s="812"/>
      <c r="E72" s="813"/>
      <c r="F72" s="32">
        <f>SUM(F67:F71)</f>
        <v>0</v>
      </c>
      <c r="G72" s="33"/>
      <c r="H72" s="33"/>
    </row>
    <row r="73" spans="1:9" ht="26.25" customHeight="1" x14ac:dyDescent="0.2">
      <c r="A73" s="799" t="s">
        <v>125</v>
      </c>
      <c r="B73" s="800"/>
      <c r="C73" s="800"/>
      <c r="D73" s="800"/>
      <c r="E73" s="801"/>
      <c r="F73" s="34">
        <f>F72%*$F$23</f>
        <v>0</v>
      </c>
      <c r="G73" s="179" t="s">
        <v>142</v>
      </c>
      <c r="H73" s="180" t="s">
        <v>75</v>
      </c>
    </row>
    <row r="74" spans="1:9" ht="45.75" thickBot="1" x14ac:dyDescent="0.25">
      <c r="A74" s="802" t="s">
        <v>116</v>
      </c>
      <c r="B74" s="802"/>
      <c r="C74" s="802"/>
      <c r="D74" s="802"/>
      <c r="E74" s="802"/>
      <c r="F74" s="34">
        <f>ROUND(((F30+F37)+(F55+F44))*(F72)/100,2)</f>
        <v>0</v>
      </c>
      <c r="G74" s="181" t="s">
        <v>117</v>
      </c>
      <c r="H74" s="181" t="s">
        <v>118</v>
      </c>
    </row>
    <row r="75" spans="1:9" ht="13.5" thickBot="1" x14ac:dyDescent="0.25">
      <c r="A75" s="797" t="s">
        <v>126</v>
      </c>
      <c r="B75" s="797"/>
      <c r="C75" s="797"/>
      <c r="D75" s="797"/>
      <c r="E75" s="798"/>
      <c r="F75" s="17">
        <f>F72+F73+F74</f>
        <v>0</v>
      </c>
      <c r="G75" s="18" t="s">
        <v>6</v>
      </c>
      <c r="H75" s="19"/>
    </row>
    <row r="76" spans="1:9" ht="13.5" thickBot="1" x14ac:dyDescent="0.25">
      <c r="A76" s="31"/>
      <c r="B76" s="31"/>
      <c r="C76" s="31"/>
      <c r="D76" s="31"/>
      <c r="E76" s="31"/>
      <c r="F76" s="10"/>
      <c r="G76" s="11"/>
      <c r="H76" s="11"/>
    </row>
    <row r="77" spans="1:9" ht="13.5" thickBot="1" x14ac:dyDescent="0.25">
      <c r="A77" s="786" t="s">
        <v>25</v>
      </c>
      <c r="B77" s="787"/>
      <c r="C77" s="787"/>
      <c r="D77" s="787"/>
      <c r="E77" s="787"/>
      <c r="F77" s="788"/>
      <c r="G77" s="788"/>
      <c r="H77" s="789"/>
    </row>
    <row r="78" spans="1:9" x14ac:dyDescent="0.2">
      <c r="A78" s="594"/>
      <c r="B78" s="594"/>
      <c r="C78" s="594"/>
      <c r="D78" s="594"/>
      <c r="E78" s="594"/>
      <c r="F78" s="35"/>
      <c r="G78" s="36"/>
      <c r="H78" s="36"/>
    </row>
    <row r="79" spans="1:9" ht="13.5" customHeight="1" thickBot="1" x14ac:dyDescent="0.25">
      <c r="A79" s="790" t="s">
        <v>26</v>
      </c>
      <c r="B79" s="790"/>
      <c r="C79" s="790"/>
      <c r="D79" s="790"/>
      <c r="E79" s="790"/>
      <c r="F79" s="295">
        <f>F23</f>
        <v>0</v>
      </c>
      <c r="G79" s="38"/>
      <c r="H79" s="594"/>
    </row>
    <row r="80" spans="1:9" ht="13.5" customHeight="1" thickBot="1" x14ac:dyDescent="0.25">
      <c r="A80" s="790" t="s">
        <v>127</v>
      </c>
      <c r="B80" s="790"/>
      <c r="C80" s="790"/>
      <c r="D80" s="790"/>
      <c r="E80" s="790"/>
      <c r="F80" s="295">
        <f>F55</f>
        <v>0</v>
      </c>
      <c r="G80" s="38"/>
      <c r="H80" s="594"/>
      <c r="I80" s="185"/>
    </row>
    <row r="81" spans="1:8" ht="13.5" customHeight="1" thickBot="1" x14ac:dyDescent="0.25">
      <c r="A81" s="790" t="s">
        <v>128</v>
      </c>
      <c r="B81" s="790"/>
      <c r="C81" s="790"/>
      <c r="D81" s="790"/>
      <c r="E81" s="790"/>
      <c r="F81" s="295">
        <f>F75</f>
        <v>0</v>
      </c>
      <c r="G81" s="38"/>
      <c r="H81" s="594"/>
    </row>
    <row r="82" spans="1:8" ht="13.5" thickBot="1" x14ac:dyDescent="0.25">
      <c r="A82" s="791" t="s">
        <v>178</v>
      </c>
      <c r="B82" s="791"/>
      <c r="C82" s="791"/>
      <c r="D82" s="791"/>
      <c r="E82" s="792"/>
      <c r="F82" s="296">
        <f>SUM(F79:F81)</f>
        <v>0</v>
      </c>
      <c r="G82" s="18" t="s">
        <v>6</v>
      </c>
      <c r="H82" s="19"/>
    </row>
    <row r="83" spans="1:8" x14ac:dyDescent="0.2">
      <c r="A83" s="593"/>
      <c r="B83" s="593"/>
      <c r="C83" s="593"/>
      <c r="D83" s="593"/>
      <c r="E83" s="593"/>
      <c r="F83" s="297"/>
      <c r="G83" s="41"/>
      <c r="H83" s="19"/>
    </row>
    <row r="84" spans="1:8" ht="13.5" customHeight="1" thickBot="1" x14ac:dyDescent="0.25">
      <c r="A84" s="793" t="s">
        <v>129</v>
      </c>
      <c r="B84" s="793"/>
      <c r="C84" s="793"/>
      <c r="D84" s="793"/>
      <c r="E84" s="793"/>
      <c r="F84" s="298">
        <f>F30</f>
        <v>8.33</v>
      </c>
      <c r="G84" s="594"/>
      <c r="H84" s="594"/>
    </row>
    <row r="85" spans="1:8" ht="13.5" customHeight="1" thickBot="1" x14ac:dyDescent="0.25">
      <c r="A85" s="794" t="s">
        <v>130</v>
      </c>
      <c r="B85" s="794"/>
      <c r="C85" s="794"/>
      <c r="D85" s="794"/>
      <c r="E85" s="794"/>
      <c r="F85" s="299">
        <f>F37</f>
        <v>2.78</v>
      </c>
      <c r="G85" s="594"/>
      <c r="H85" s="594"/>
    </row>
    <row r="86" spans="1:8" ht="13.5" customHeight="1" thickBot="1" x14ac:dyDescent="0.25">
      <c r="A86" s="790" t="s">
        <v>131</v>
      </c>
      <c r="B86" s="790"/>
      <c r="C86" s="790"/>
      <c r="D86" s="790"/>
      <c r="E86" s="790"/>
      <c r="F86" s="295">
        <f>F44</f>
        <v>0</v>
      </c>
      <c r="G86" s="594"/>
      <c r="H86" s="594"/>
    </row>
    <row r="87" spans="1:8" ht="13.5" customHeight="1" thickBot="1" x14ac:dyDescent="0.25">
      <c r="A87" s="794" t="s">
        <v>132</v>
      </c>
      <c r="B87" s="794"/>
      <c r="C87" s="794"/>
      <c r="D87" s="794"/>
      <c r="E87" s="794"/>
      <c r="F87" s="300">
        <f>F63</f>
        <v>0</v>
      </c>
      <c r="G87" s="594"/>
      <c r="H87" s="594"/>
    </row>
    <row r="88" spans="1:8" ht="13.5" thickBot="1" x14ac:dyDescent="0.25">
      <c r="A88" s="791" t="s">
        <v>178</v>
      </c>
      <c r="B88" s="791"/>
      <c r="C88" s="791"/>
      <c r="D88" s="791"/>
      <c r="E88" s="792"/>
      <c r="F88" s="296">
        <f>SUM(F84:F87)</f>
        <v>11.11</v>
      </c>
      <c r="G88" s="41" t="s">
        <v>6</v>
      </c>
      <c r="H88" s="19"/>
    </row>
    <row r="89" spans="1:8" ht="13.5" thickBot="1" x14ac:dyDescent="0.25">
      <c r="A89" s="593"/>
      <c r="B89" s="593"/>
      <c r="C89" s="593"/>
      <c r="D89" s="593"/>
      <c r="E89" s="593"/>
      <c r="F89" s="297"/>
      <c r="G89" s="41"/>
      <c r="H89" s="19"/>
    </row>
    <row r="90" spans="1:8" ht="13.5" thickBot="1" x14ac:dyDescent="0.25">
      <c r="A90" s="795" t="s">
        <v>133</v>
      </c>
      <c r="B90" s="795"/>
      <c r="C90" s="795"/>
      <c r="D90" s="795"/>
      <c r="E90" s="796"/>
      <c r="F90" s="301">
        <f>F82+F88</f>
        <v>11.11</v>
      </c>
      <c r="G90" s="41" t="s">
        <v>6</v>
      </c>
      <c r="H90" s="19"/>
    </row>
    <row r="91" spans="1:8" ht="15" x14ac:dyDescent="0.2">
      <c r="A91" s="46"/>
      <c r="B91" s="46"/>
      <c r="C91" s="46"/>
      <c r="D91" s="46"/>
      <c r="E91" s="46"/>
      <c r="F91" s="47"/>
      <c r="G91" s="47"/>
      <c r="H91" s="47"/>
    </row>
    <row r="92" spans="1:8" x14ac:dyDescent="0.2">
      <c r="A92" s="785" t="s">
        <v>13</v>
      </c>
      <c r="B92" s="785"/>
      <c r="C92" s="785"/>
      <c r="D92" s="48"/>
      <c r="E92" s="48"/>
      <c r="F92" s="35"/>
      <c r="G92" s="11"/>
      <c r="H92" s="11"/>
    </row>
  </sheetData>
  <sheetProtection algorithmName="SHA-512" hashValue="OX9y0WSAzrGjBcbDfJ4LNQkm3iJfcTGFjCGcfuxme/CPYAANmvLEpN3SfIy0+QOM5lKNx3pSDzyb/Phrk1jMmw==" saltValue="XSbArAdmHVUIxGLqSlhCrA==" spinCount="100000" sheet="1" objects="1" scenarios="1" selectLockedCells="1"/>
  <mergeCells count="64">
    <mergeCell ref="A18:E18"/>
    <mergeCell ref="A1:H1"/>
    <mergeCell ref="A2:H2"/>
    <mergeCell ref="A3:H3"/>
    <mergeCell ref="A5:H5"/>
    <mergeCell ref="A6:H6"/>
    <mergeCell ref="A8:E9"/>
    <mergeCell ref="A11:H11"/>
    <mergeCell ref="A13:G13"/>
    <mergeCell ref="A15:E15"/>
    <mergeCell ref="A16:E16"/>
    <mergeCell ref="A17:E17"/>
    <mergeCell ref="A19:E19"/>
    <mergeCell ref="A20:E20"/>
    <mergeCell ref="A22:E22"/>
    <mergeCell ref="A23:E23"/>
    <mergeCell ref="A27:E27"/>
    <mergeCell ref="A28:E28"/>
    <mergeCell ref="A29:E29"/>
    <mergeCell ref="A30:E30"/>
    <mergeCell ref="A34:E34"/>
    <mergeCell ref="A35:E35"/>
    <mergeCell ref="A36:E36"/>
    <mergeCell ref="A37:E37"/>
    <mergeCell ref="A41:E41"/>
    <mergeCell ref="A42:E42"/>
    <mergeCell ref="A43:E43"/>
    <mergeCell ref="A60:E60"/>
    <mergeCell ref="A44:E44"/>
    <mergeCell ref="A48:E48"/>
    <mergeCell ref="A49:E49"/>
    <mergeCell ref="A50:E50"/>
    <mergeCell ref="A51:E51"/>
    <mergeCell ref="A52:E52"/>
    <mergeCell ref="A53:E53"/>
    <mergeCell ref="A54:E54"/>
    <mergeCell ref="A55:E55"/>
    <mergeCell ref="A57:G57"/>
    <mergeCell ref="A59:E59"/>
    <mergeCell ref="A75:E75"/>
    <mergeCell ref="A61:E61"/>
    <mergeCell ref="A62:E62"/>
    <mergeCell ref="A63:E63"/>
    <mergeCell ref="A65:G65"/>
    <mergeCell ref="A67:E67"/>
    <mergeCell ref="A68:E68"/>
    <mergeCell ref="A70:E70"/>
    <mergeCell ref="A69:E69"/>
    <mergeCell ref="A71:E71"/>
    <mergeCell ref="A72:E72"/>
    <mergeCell ref="A73:E73"/>
    <mergeCell ref="A74:E74"/>
    <mergeCell ref="A92:C92"/>
    <mergeCell ref="A77:H77"/>
    <mergeCell ref="A79:E79"/>
    <mergeCell ref="A80:E80"/>
    <mergeCell ref="A81:E81"/>
    <mergeCell ref="A82:E82"/>
    <mergeCell ref="A84:E84"/>
    <mergeCell ref="A85:E85"/>
    <mergeCell ref="A86:E86"/>
    <mergeCell ref="A87:E87"/>
    <mergeCell ref="A88:E88"/>
    <mergeCell ref="A90:E90"/>
  </mergeCells>
  <conditionalFormatting sqref="G8">
    <cfRule type="expression" dxfId="3" priority="2">
      <formula>$F$8&lt;&gt;""</formula>
    </cfRule>
  </conditionalFormatting>
  <conditionalFormatting sqref="G9">
    <cfRule type="expression" dxfId="2" priority="1">
      <formula>$F$9&lt;&gt;""</formula>
    </cfRule>
  </conditionalFormatting>
  <printOptions horizontalCentered="1"/>
  <pageMargins left="0.51181102362204722" right="0.51181102362204722" top="0.78740157480314965" bottom="0.78740157480314965" header="0.31496062992125984" footer="0.31496062992125984"/>
  <pageSetup paperSize="9" scale="62" fitToHeight="4" orientation="portrait" r:id="rId1"/>
  <headerFooter>
    <oddHeader>&amp;R&amp;P</oddHeader>
    <oddFooter>&amp;LSACCON/CPC/SECAD&amp;R&amp;A
&amp;P/&amp;N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J90"/>
  <sheetViews>
    <sheetView showGridLines="0" view="pageBreakPreview" zoomScaleNormal="100" zoomScaleSheetLayoutView="100" workbookViewId="0">
      <selection sqref="A1:H1"/>
    </sheetView>
  </sheetViews>
  <sheetFormatPr defaultRowHeight="12.75" x14ac:dyDescent="0.2"/>
  <cols>
    <col min="1" max="5" width="9.7109375" style="240" customWidth="1"/>
    <col min="6" max="6" width="12.28515625" style="240" bestFit="1" customWidth="1"/>
    <col min="7" max="8" width="44.7109375" style="240" customWidth="1"/>
    <col min="9" max="16384" width="9.140625" style="240"/>
  </cols>
  <sheetData>
    <row r="1" spans="1:8" ht="15.75" x14ac:dyDescent="0.2">
      <c r="A1" s="836" t="str">
        <f>POSTOS!A1</f>
        <v>TRIBUNAL REGIONAL ELEITORAL DO PARANÁ</v>
      </c>
      <c r="B1" s="836"/>
      <c r="C1" s="836"/>
      <c r="D1" s="836"/>
      <c r="E1" s="836"/>
      <c r="F1" s="836"/>
      <c r="G1" s="836"/>
      <c r="H1" s="836"/>
    </row>
    <row r="2" spans="1:8" x14ac:dyDescent="0.2">
      <c r="A2" s="853" t="str">
        <f>POSTOS!A2</f>
        <v>PLANILHA DE FORMAÇÃO DE CUSTOS E PREÇOS - Proposta Detalhada</v>
      </c>
      <c r="B2" s="853"/>
      <c r="C2" s="853"/>
      <c r="D2" s="853"/>
      <c r="E2" s="853"/>
      <c r="F2" s="853"/>
      <c r="G2" s="853"/>
      <c r="H2" s="853"/>
    </row>
    <row r="3" spans="1:8" x14ac:dyDescent="0.2">
      <c r="A3" s="854" t="str">
        <f>POSTOS!A3</f>
        <v>Apoio Operacional Especializado - Encarregado e Auxiliar de Almoxarifado, e Marceneiro</v>
      </c>
      <c r="B3" s="854"/>
      <c r="C3" s="854"/>
      <c r="D3" s="854"/>
      <c r="E3" s="854"/>
      <c r="F3" s="854"/>
      <c r="G3" s="854"/>
      <c r="H3" s="854"/>
    </row>
    <row r="4" spans="1:8" x14ac:dyDescent="0.2">
      <c r="A4" s="4"/>
      <c r="B4" s="4"/>
      <c r="C4" s="4"/>
      <c r="D4" s="4"/>
      <c r="E4" s="4"/>
      <c r="F4" s="4"/>
      <c r="G4" s="4"/>
      <c r="H4" s="4"/>
    </row>
    <row r="5" spans="1:8" x14ac:dyDescent="0.2">
      <c r="A5" s="837" t="str">
        <f>POSTOS!A9</f>
        <v>NOME DA EMPRESA</v>
      </c>
      <c r="B5" s="838"/>
      <c r="C5" s="838"/>
      <c r="D5" s="838"/>
      <c r="E5" s="838"/>
      <c r="F5" s="838"/>
      <c r="G5" s="838"/>
      <c r="H5" s="839"/>
    </row>
    <row r="6" spans="1:8" x14ac:dyDescent="0.2">
      <c r="A6" s="840" t="str">
        <f>POSTOS!A10</f>
        <v>CNPJ</v>
      </c>
      <c r="B6" s="841"/>
      <c r="C6" s="841"/>
      <c r="D6" s="841"/>
      <c r="E6" s="841"/>
      <c r="F6" s="841"/>
      <c r="G6" s="841"/>
      <c r="H6" s="842"/>
    </row>
    <row r="7" spans="1:8" ht="13.5" thickBot="1" x14ac:dyDescent="0.25">
      <c r="A7" s="243"/>
      <c r="B7" s="243"/>
      <c r="C7" s="243"/>
      <c r="D7" s="243"/>
      <c r="E7" s="243"/>
      <c r="F7" s="243"/>
      <c r="G7" s="243"/>
      <c r="H7" s="5" t="s">
        <v>78</v>
      </c>
    </row>
    <row r="8" spans="1:8" ht="13.5" thickTop="1" x14ac:dyDescent="0.2">
      <c r="A8" s="843" t="s">
        <v>33</v>
      </c>
      <c r="B8" s="844"/>
      <c r="C8" s="844"/>
      <c r="D8" s="844"/>
      <c r="E8" s="845"/>
      <c r="F8" s="186">
        <f>'ENCARGOS e PROVISOES'!F8</f>
        <v>0</v>
      </c>
      <c r="G8" s="6" t="s">
        <v>15</v>
      </c>
      <c r="H8" s="7" t="s">
        <v>79</v>
      </c>
    </row>
    <row r="9" spans="1:8" x14ac:dyDescent="0.2">
      <c r="A9" s="846"/>
      <c r="B9" s="847"/>
      <c r="C9" s="847"/>
      <c r="D9" s="847"/>
      <c r="E9" s="848"/>
      <c r="F9" s="186">
        <f>'ENCARGOS e PROVISOES'!F9</f>
        <v>0</v>
      </c>
      <c r="G9" s="6" t="s">
        <v>16</v>
      </c>
      <c r="H9" s="8" t="s">
        <v>149</v>
      </c>
    </row>
    <row r="10" spans="1:8" ht="13.5" thickBot="1" x14ac:dyDescent="0.25">
      <c r="A10" s="243"/>
      <c r="B10" s="243"/>
      <c r="C10" s="243"/>
      <c r="D10" s="243"/>
      <c r="E10" s="243"/>
      <c r="F10" s="243"/>
      <c r="G10" s="243"/>
      <c r="H10" s="243"/>
    </row>
    <row r="11" spans="1:8" ht="13.5" thickBot="1" x14ac:dyDescent="0.25">
      <c r="A11" s="849" t="s">
        <v>7</v>
      </c>
      <c r="B11" s="850"/>
      <c r="C11" s="850"/>
      <c r="D11" s="850"/>
      <c r="E11" s="850"/>
      <c r="F11" s="850"/>
      <c r="G11" s="850"/>
      <c r="H11" s="851"/>
    </row>
    <row r="12" spans="1:8" x14ac:dyDescent="0.2">
      <c r="A12" s="9"/>
      <c r="B12" s="9"/>
      <c r="C12" s="9"/>
      <c r="D12" s="9"/>
      <c r="E12" s="9"/>
      <c r="F12" s="10"/>
      <c r="G12" s="11"/>
      <c r="H12" s="11"/>
    </row>
    <row r="13" spans="1:8" ht="18" thickBot="1" x14ac:dyDescent="0.35">
      <c r="A13" s="804" t="s">
        <v>34</v>
      </c>
      <c r="B13" s="804"/>
      <c r="C13" s="804"/>
      <c r="D13" s="804"/>
      <c r="E13" s="804"/>
      <c r="F13" s="804"/>
      <c r="G13" s="804"/>
      <c r="H13" s="12"/>
    </row>
    <row r="14" spans="1:8" ht="13.5" thickTop="1" x14ac:dyDescent="0.2">
      <c r="A14" s="243"/>
      <c r="B14" s="243"/>
      <c r="C14" s="243"/>
      <c r="D14" s="243"/>
      <c r="E14" s="243"/>
      <c r="F14" s="13" t="s">
        <v>6</v>
      </c>
      <c r="G14" s="13" t="s">
        <v>35</v>
      </c>
      <c r="H14" s="13" t="s">
        <v>36</v>
      </c>
    </row>
    <row r="15" spans="1:8" x14ac:dyDescent="0.2">
      <c r="A15" s="805" t="s">
        <v>0</v>
      </c>
      <c r="B15" s="806"/>
      <c r="C15" s="806"/>
      <c r="D15" s="806"/>
      <c r="E15" s="807"/>
      <c r="F15" s="62">
        <f>'ENCARGOS e PROVISOES'!F15</f>
        <v>0</v>
      </c>
      <c r="G15" s="14" t="s">
        <v>37</v>
      </c>
      <c r="H15" s="63" t="s">
        <v>150</v>
      </c>
    </row>
    <row r="16" spans="1:8" x14ac:dyDescent="0.2">
      <c r="A16" s="805" t="s">
        <v>17</v>
      </c>
      <c r="B16" s="806"/>
      <c r="C16" s="806"/>
      <c r="D16" s="806"/>
      <c r="E16" s="807"/>
      <c r="F16" s="62">
        <f>'ENCARGOS e PROVISOES'!F16</f>
        <v>0</v>
      </c>
      <c r="G16" s="14" t="s">
        <v>38</v>
      </c>
      <c r="H16" s="63" t="s">
        <v>150</v>
      </c>
    </row>
    <row r="17" spans="1:10" x14ac:dyDescent="0.2">
      <c r="A17" s="805" t="s">
        <v>1</v>
      </c>
      <c r="B17" s="806"/>
      <c r="C17" s="806"/>
      <c r="D17" s="806"/>
      <c r="E17" s="807"/>
      <c r="F17" s="62">
        <f>'ENCARGOS e PROVISOES'!F17</f>
        <v>0</v>
      </c>
      <c r="G17" s="14" t="s">
        <v>39</v>
      </c>
      <c r="H17" s="63" t="s">
        <v>150</v>
      </c>
    </row>
    <row r="18" spans="1:10" x14ac:dyDescent="0.2">
      <c r="A18" s="805" t="s">
        <v>18</v>
      </c>
      <c r="B18" s="806"/>
      <c r="C18" s="806"/>
      <c r="D18" s="806"/>
      <c r="E18" s="807"/>
      <c r="F18" s="62">
        <f>'ENCARGOS e PROVISOES'!F18</f>
        <v>0</v>
      </c>
      <c r="G18" s="14" t="s">
        <v>40</v>
      </c>
      <c r="H18" s="63" t="s">
        <v>150</v>
      </c>
    </row>
    <row r="19" spans="1:10" ht="22.5" x14ac:dyDescent="0.2">
      <c r="A19" s="805" t="s">
        <v>2</v>
      </c>
      <c r="B19" s="806"/>
      <c r="C19" s="806"/>
      <c r="D19" s="806"/>
      <c r="E19" s="807"/>
      <c r="F19" s="62">
        <f>'ENCARGOS e PROVISOES'!F19</f>
        <v>0</v>
      </c>
      <c r="G19" s="14" t="s">
        <v>41</v>
      </c>
      <c r="H19" s="63" t="s">
        <v>150</v>
      </c>
    </row>
    <row r="20" spans="1:10" x14ac:dyDescent="0.2">
      <c r="A20" s="805" t="s">
        <v>4</v>
      </c>
      <c r="B20" s="806"/>
      <c r="C20" s="806"/>
      <c r="D20" s="806"/>
      <c r="E20" s="807"/>
      <c r="F20" s="62">
        <f>'ENCARGOS e PROVISOES'!F20</f>
        <v>0</v>
      </c>
      <c r="G20" s="14" t="s">
        <v>42</v>
      </c>
      <c r="H20" s="63" t="s">
        <v>150</v>
      </c>
    </row>
    <row r="21" spans="1:10" ht="67.5" x14ac:dyDescent="0.2">
      <c r="A21" s="15" t="s">
        <v>65</v>
      </c>
      <c r="B21" s="187">
        <f>'ENCARGOS e PROVISOES'!B21</f>
        <v>0</v>
      </c>
      <c r="C21" s="15" t="s">
        <v>66</v>
      </c>
      <c r="D21" s="188">
        <f>'ENCARGOS e PROVISOES'!D21</f>
        <v>0</v>
      </c>
      <c r="E21" s="15" t="s">
        <v>67</v>
      </c>
      <c r="F21" s="62">
        <f>B21*D21</f>
        <v>0</v>
      </c>
      <c r="G21" s="16" t="s">
        <v>81</v>
      </c>
      <c r="H21" s="16" t="s">
        <v>139</v>
      </c>
    </row>
    <row r="22" spans="1:10" ht="23.25" thickBot="1" x14ac:dyDescent="0.25">
      <c r="A22" s="820" t="s">
        <v>3</v>
      </c>
      <c r="B22" s="820"/>
      <c r="C22" s="820"/>
      <c r="D22" s="820"/>
      <c r="E22" s="820"/>
      <c r="F22" s="189">
        <f>'ENCARGOS e PROVISOES'!F22</f>
        <v>0</v>
      </c>
      <c r="G22" s="14" t="s">
        <v>43</v>
      </c>
      <c r="H22" s="14" t="s">
        <v>150</v>
      </c>
    </row>
    <row r="23" spans="1:10" ht="13.5" thickBot="1" x14ac:dyDescent="0.25">
      <c r="A23" s="797" t="s">
        <v>45</v>
      </c>
      <c r="B23" s="797"/>
      <c r="C23" s="797"/>
      <c r="D23" s="797"/>
      <c r="E23" s="798"/>
      <c r="F23" s="17">
        <f>SUM(F15:F22)</f>
        <v>0</v>
      </c>
      <c r="G23" s="18" t="s">
        <v>6</v>
      </c>
      <c r="H23" s="19"/>
    </row>
    <row r="24" spans="1:10" x14ac:dyDescent="0.2">
      <c r="A24" s="20"/>
      <c r="B24" s="20"/>
      <c r="C24" s="20"/>
      <c r="D24" s="20"/>
      <c r="E24" s="20"/>
      <c r="F24" s="10"/>
      <c r="G24" s="19"/>
      <c r="H24" s="19"/>
    </row>
    <row r="25" spans="1:10" ht="18" thickBot="1" x14ac:dyDescent="0.35">
      <c r="A25" s="242" t="s">
        <v>134</v>
      </c>
      <c r="B25" s="242"/>
      <c r="C25" s="242"/>
      <c r="D25" s="242"/>
      <c r="E25" s="242"/>
      <c r="F25" s="242"/>
      <c r="G25" s="242"/>
      <c r="H25" s="21"/>
    </row>
    <row r="26" spans="1:10" ht="13.5" thickTop="1" x14ac:dyDescent="0.2">
      <c r="A26" s="164"/>
      <c r="B26" s="164"/>
      <c r="C26" s="164"/>
      <c r="D26" s="164"/>
      <c r="E26" s="164"/>
      <c r="F26" s="13" t="s">
        <v>6</v>
      </c>
      <c r="G26" s="13" t="s">
        <v>35</v>
      </c>
      <c r="H26" s="13" t="s">
        <v>36</v>
      </c>
    </row>
    <row r="27" spans="1:10" ht="33.75" x14ac:dyDescent="0.2">
      <c r="A27" s="831" t="s">
        <v>20</v>
      </c>
      <c r="B27" s="832"/>
      <c r="C27" s="832"/>
      <c r="D27" s="832"/>
      <c r="E27" s="833"/>
      <c r="F27" s="190">
        <f>'ENCARGOS e PROVISOES'!F27</f>
        <v>8.33</v>
      </c>
      <c r="G27" s="165" t="s">
        <v>82</v>
      </c>
      <c r="H27" s="63" t="s">
        <v>150</v>
      </c>
    </row>
    <row r="28" spans="1:10" x14ac:dyDescent="0.2">
      <c r="A28" s="828" t="s">
        <v>84</v>
      </c>
      <c r="B28" s="829"/>
      <c r="C28" s="829"/>
      <c r="D28" s="829"/>
      <c r="E28" s="830"/>
      <c r="F28" s="22">
        <f>F27</f>
        <v>8.33</v>
      </c>
      <c r="G28" s="166"/>
      <c r="H28" s="166"/>
    </row>
    <row r="29" spans="1:10" ht="13.5" thickBot="1" x14ac:dyDescent="0.25">
      <c r="A29" s="824" t="s">
        <v>85</v>
      </c>
      <c r="B29" s="825"/>
      <c r="C29" s="825"/>
      <c r="D29" s="825"/>
      <c r="E29" s="826"/>
      <c r="F29" s="23">
        <f>F28%*F23</f>
        <v>0</v>
      </c>
      <c r="G29" s="167" t="s">
        <v>140</v>
      </c>
      <c r="H29" s="168" t="s">
        <v>86</v>
      </c>
    </row>
    <row r="30" spans="1:10" ht="13.5" thickBot="1" x14ac:dyDescent="0.25">
      <c r="A30" s="827" t="s">
        <v>87</v>
      </c>
      <c r="B30" s="827"/>
      <c r="C30" s="827"/>
      <c r="D30" s="827"/>
      <c r="E30" s="827"/>
      <c r="F30" s="17">
        <f>F28+F29</f>
        <v>8.33</v>
      </c>
      <c r="G30" s="169" t="s">
        <v>6</v>
      </c>
      <c r="H30" s="170"/>
      <c r="I30" s="171"/>
      <c r="J30" s="171"/>
    </row>
    <row r="31" spans="1:10" x14ac:dyDescent="0.2">
      <c r="A31" s="143"/>
      <c r="B31" s="143"/>
      <c r="C31" s="143"/>
      <c r="D31" s="143"/>
      <c r="E31" s="143"/>
      <c r="F31" s="172"/>
      <c r="G31" s="173"/>
      <c r="H31" s="173"/>
    </row>
    <row r="32" spans="1:10" ht="18" thickBot="1" x14ac:dyDescent="0.35">
      <c r="A32" s="242" t="s">
        <v>135</v>
      </c>
      <c r="B32" s="242"/>
      <c r="C32" s="242"/>
      <c r="D32" s="242"/>
      <c r="E32" s="242"/>
      <c r="F32" s="242"/>
      <c r="G32" s="242"/>
      <c r="H32" s="21"/>
    </row>
    <row r="33" spans="1:9" ht="13.5" thickTop="1" x14ac:dyDescent="0.2">
      <c r="A33" s="164"/>
      <c r="B33" s="164"/>
      <c r="C33" s="164"/>
      <c r="D33" s="164"/>
      <c r="E33" s="164"/>
      <c r="F33" s="13" t="s">
        <v>6</v>
      </c>
      <c r="G33" s="13" t="s">
        <v>35</v>
      </c>
      <c r="H33" s="13" t="s">
        <v>36</v>
      </c>
    </row>
    <row r="34" spans="1:9" ht="33.75" x14ac:dyDescent="0.2">
      <c r="A34" s="831" t="s">
        <v>19</v>
      </c>
      <c r="B34" s="832"/>
      <c r="C34" s="832"/>
      <c r="D34" s="832"/>
      <c r="E34" s="833"/>
      <c r="F34" s="190">
        <f>'ENCARGOS e PROVISOES'!F34</f>
        <v>2.78</v>
      </c>
      <c r="G34" s="165" t="s">
        <v>88</v>
      </c>
      <c r="H34" s="63" t="s">
        <v>150</v>
      </c>
    </row>
    <row r="35" spans="1:9" x14ac:dyDescent="0.2">
      <c r="A35" s="828" t="s">
        <v>90</v>
      </c>
      <c r="B35" s="829"/>
      <c r="C35" s="829"/>
      <c r="D35" s="829"/>
      <c r="E35" s="830"/>
      <c r="F35" s="22">
        <f>F34</f>
        <v>2.78</v>
      </c>
      <c r="G35" s="166"/>
      <c r="H35" s="166"/>
    </row>
    <row r="36" spans="1:9" ht="13.5" customHeight="1" thickBot="1" x14ac:dyDescent="0.25">
      <c r="A36" s="824" t="s">
        <v>91</v>
      </c>
      <c r="B36" s="825"/>
      <c r="C36" s="825"/>
      <c r="D36" s="825"/>
      <c r="E36" s="826"/>
      <c r="F36" s="23">
        <f>F35%*F23</f>
        <v>0</v>
      </c>
      <c r="G36" s="167" t="s">
        <v>140</v>
      </c>
      <c r="H36" s="168" t="s">
        <v>92</v>
      </c>
    </row>
    <row r="37" spans="1:9" ht="13.5" thickBot="1" x14ac:dyDescent="0.25">
      <c r="A37" s="827" t="s">
        <v>93</v>
      </c>
      <c r="B37" s="827"/>
      <c r="C37" s="827"/>
      <c r="D37" s="827"/>
      <c r="E37" s="827"/>
      <c r="F37" s="17">
        <f>F35+F36</f>
        <v>2.78</v>
      </c>
      <c r="G37" s="169" t="s">
        <v>6</v>
      </c>
      <c r="H37" s="170"/>
    </row>
    <row r="38" spans="1:9" x14ac:dyDescent="0.2">
      <c r="A38" s="174"/>
      <c r="B38" s="174"/>
      <c r="C38" s="174"/>
      <c r="D38" s="174"/>
      <c r="E38" s="174"/>
      <c r="F38" s="175"/>
      <c r="G38" s="176"/>
      <c r="H38" s="177"/>
    </row>
    <row r="39" spans="1:9" ht="18" thickBot="1" x14ac:dyDescent="0.35">
      <c r="A39" s="242" t="s">
        <v>136</v>
      </c>
      <c r="B39" s="242"/>
      <c r="C39" s="242"/>
      <c r="D39" s="242"/>
      <c r="E39" s="242"/>
      <c r="F39" s="242"/>
      <c r="G39" s="242"/>
      <c r="H39" s="21"/>
    </row>
    <row r="40" spans="1:9" ht="13.5" thickTop="1" x14ac:dyDescent="0.2">
      <c r="A40" s="243"/>
      <c r="B40" s="243"/>
      <c r="C40" s="243"/>
      <c r="D40" s="243"/>
      <c r="E40" s="243"/>
      <c r="F40" s="13" t="s">
        <v>6</v>
      </c>
      <c r="G40" s="13" t="s">
        <v>35</v>
      </c>
      <c r="H40" s="13" t="s">
        <v>36</v>
      </c>
    </row>
    <row r="41" spans="1:9" ht="78.75" x14ac:dyDescent="0.2">
      <c r="A41" s="805" t="s">
        <v>21</v>
      </c>
      <c r="B41" s="806"/>
      <c r="C41" s="806"/>
      <c r="D41" s="806"/>
      <c r="E41" s="807"/>
      <c r="F41" s="191">
        <v>4</v>
      </c>
      <c r="G41" s="24" t="s">
        <v>49</v>
      </c>
      <c r="H41" s="67" t="s">
        <v>152</v>
      </c>
    </row>
    <row r="42" spans="1:9" x14ac:dyDescent="0.2">
      <c r="A42" s="817" t="s">
        <v>94</v>
      </c>
      <c r="B42" s="818"/>
      <c r="C42" s="818"/>
      <c r="D42" s="818"/>
      <c r="E42" s="819"/>
      <c r="F42" s="25">
        <f>SUM(F41:F41)</f>
        <v>4</v>
      </c>
      <c r="G42" s="26"/>
      <c r="H42" s="26"/>
    </row>
    <row r="43" spans="1:9" ht="13.5" thickBot="1" x14ac:dyDescent="0.25">
      <c r="A43" s="820" t="s">
        <v>95</v>
      </c>
      <c r="B43" s="820"/>
      <c r="C43" s="820"/>
      <c r="D43" s="820"/>
      <c r="E43" s="820"/>
      <c r="F43" s="66">
        <f>ROUND((F30+F37)*F42/100,2)</f>
        <v>0.44</v>
      </c>
      <c r="G43" s="27" t="s">
        <v>96</v>
      </c>
      <c r="H43" s="27" t="s">
        <v>97</v>
      </c>
    </row>
    <row r="44" spans="1:9" ht="13.5" thickBot="1" x14ac:dyDescent="0.25">
      <c r="A44" s="797" t="s">
        <v>98</v>
      </c>
      <c r="B44" s="797"/>
      <c r="C44" s="797"/>
      <c r="D44" s="797"/>
      <c r="E44" s="798"/>
      <c r="F44" s="17">
        <f>SUM(F42:F43)</f>
        <v>4.4400000000000004</v>
      </c>
      <c r="G44" s="18" t="s">
        <v>6</v>
      </c>
      <c r="H44" s="19"/>
      <c r="I44" s="171"/>
    </row>
    <row r="45" spans="1:9" x14ac:dyDescent="0.2">
      <c r="A45" s="174"/>
      <c r="B45" s="174"/>
      <c r="C45" s="174"/>
      <c r="D45" s="174"/>
      <c r="E45" s="174"/>
      <c r="F45" s="175"/>
      <c r="G45" s="176"/>
      <c r="H45" s="177"/>
    </row>
    <row r="46" spans="1:9" ht="18" thickBot="1" x14ac:dyDescent="0.35">
      <c r="A46" s="242" t="s">
        <v>99</v>
      </c>
      <c r="B46" s="242"/>
      <c r="C46" s="242"/>
      <c r="D46" s="242"/>
      <c r="E46" s="242"/>
      <c r="F46" s="242"/>
      <c r="G46" s="242"/>
      <c r="H46" s="21"/>
    </row>
    <row r="47" spans="1:9" ht="13.5" thickTop="1" x14ac:dyDescent="0.2">
      <c r="A47" s="243"/>
      <c r="B47" s="243"/>
      <c r="C47" s="243"/>
      <c r="D47" s="243"/>
      <c r="E47" s="243"/>
      <c r="F47" s="13" t="s">
        <v>6</v>
      </c>
      <c r="G47" s="13" t="s">
        <v>35</v>
      </c>
      <c r="H47" s="13" t="s">
        <v>36</v>
      </c>
    </row>
    <row r="48" spans="1:9" ht="67.5" x14ac:dyDescent="0.2">
      <c r="A48" s="805" t="s">
        <v>100</v>
      </c>
      <c r="B48" s="806"/>
      <c r="C48" s="806"/>
      <c r="D48" s="806"/>
      <c r="E48" s="807"/>
      <c r="F48" s="192">
        <v>0.41670000000000001</v>
      </c>
      <c r="G48" s="14" t="s">
        <v>46</v>
      </c>
      <c r="H48" s="68" t="s">
        <v>153</v>
      </c>
    </row>
    <row r="49" spans="1:9" x14ac:dyDescent="0.2">
      <c r="A49" s="805" t="s">
        <v>101</v>
      </c>
      <c r="B49" s="806"/>
      <c r="C49" s="806"/>
      <c r="D49" s="806"/>
      <c r="E49" s="807"/>
      <c r="F49" s="28">
        <f>F48*8%</f>
        <v>3.3336000000000005E-2</v>
      </c>
      <c r="G49" s="14" t="s">
        <v>47</v>
      </c>
      <c r="H49" s="29" t="s">
        <v>102</v>
      </c>
    </row>
    <row r="50" spans="1:9" ht="22.5" x14ac:dyDescent="0.2">
      <c r="A50" s="805" t="s">
        <v>103</v>
      </c>
      <c r="B50" s="806"/>
      <c r="C50" s="806"/>
      <c r="D50" s="806"/>
      <c r="E50" s="807"/>
      <c r="F50" s="28">
        <f>IF(F48&gt;0,((5%*8%*40%)*100),0)</f>
        <v>0.16</v>
      </c>
      <c r="G50" s="16" t="s">
        <v>104</v>
      </c>
      <c r="H50" s="29" t="s">
        <v>105</v>
      </c>
    </row>
    <row r="51" spans="1:9" ht="45" x14ac:dyDescent="0.2">
      <c r="A51" s="805" t="s">
        <v>106</v>
      </c>
      <c r="B51" s="806"/>
      <c r="C51" s="806"/>
      <c r="D51" s="806"/>
      <c r="E51" s="807"/>
      <c r="F51" s="192">
        <v>1.94</v>
      </c>
      <c r="G51" s="14" t="s">
        <v>48</v>
      </c>
      <c r="H51" s="68" t="s">
        <v>154</v>
      </c>
    </row>
    <row r="52" spans="1:9" x14ac:dyDescent="0.2">
      <c r="A52" s="805" t="s">
        <v>107</v>
      </c>
      <c r="B52" s="806"/>
      <c r="C52" s="806"/>
      <c r="D52" s="806"/>
      <c r="E52" s="807"/>
      <c r="F52" s="28">
        <f>$F$23*F51%</f>
        <v>0</v>
      </c>
      <c r="G52" s="26" t="s">
        <v>141</v>
      </c>
      <c r="H52" s="26" t="s">
        <v>108</v>
      </c>
    </row>
    <row r="53" spans="1:9" x14ac:dyDescent="0.2">
      <c r="A53" s="817" t="s">
        <v>109</v>
      </c>
      <c r="B53" s="818"/>
      <c r="C53" s="818"/>
      <c r="D53" s="818"/>
      <c r="E53" s="819"/>
      <c r="F53" s="64">
        <f>SUM(F48:F52)</f>
        <v>2.550036</v>
      </c>
      <c r="G53" s="26"/>
      <c r="H53" s="26"/>
    </row>
    <row r="54" spans="1:9" ht="34.5" thickBot="1" x14ac:dyDescent="0.25">
      <c r="A54" s="820" t="s">
        <v>95</v>
      </c>
      <c r="B54" s="820"/>
      <c r="C54" s="820"/>
      <c r="D54" s="820"/>
      <c r="E54" s="820"/>
      <c r="F54" s="65">
        <f>ROUND((F30+F37)*F53/100,4)</f>
        <v>0.2833</v>
      </c>
      <c r="G54" s="27" t="s">
        <v>110</v>
      </c>
      <c r="H54" s="27" t="s">
        <v>111</v>
      </c>
    </row>
    <row r="55" spans="1:9" ht="13.5" thickBot="1" x14ac:dyDescent="0.25">
      <c r="A55" s="797" t="s">
        <v>50</v>
      </c>
      <c r="B55" s="797"/>
      <c r="C55" s="797"/>
      <c r="D55" s="797"/>
      <c r="E55" s="798"/>
      <c r="F55" s="30">
        <f>SUM(F53:F54)</f>
        <v>2.8333360000000001</v>
      </c>
      <c r="G55" s="18" t="s">
        <v>6</v>
      </c>
      <c r="H55" s="19"/>
    </row>
    <row r="56" spans="1:9" x14ac:dyDescent="0.2">
      <c r="A56" s="31"/>
      <c r="B56" s="31"/>
      <c r="C56" s="31"/>
      <c r="D56" s="31"/>
      <c r="E56" s="31"/>
      <c r="F56" s="10"/>
      <c r="G56" s="11"/>
      <c r="H56" s="11"/>
    </row>
    <row r="57" spans="1:9" s="122" customFormat="1" ht="18" thickBot="1" x14ac:dyDescent="0.35">
      <c r="A57" s="804" t="s">
        <v>179</v>
      </c>
      <c r="B57" s="804"/>
      <c r="C57" s="804"/>
      <c r="D57" s="804"/>
      <c r="E57" s="804"/>
      <c r="F57" s="804"/>
      <c r="G57" s="804"/>
      <c r="H57" s="12"/>
    </row>
    <row r="58" spans="1:9" s="122" customFormat="1" ht="15.75" thickTop="1" x14ac:dyDescent="0.25">
      <c r="A58" s="164"/>
      <c r="B58" s="164"/>
      <c r="C58" s="164"/>
      <c r="D58" s="164"/>
      <c r="E58" s="164"/>
      <c r="F58" s="13" t="s">
        <v>6</v>
      </c>
      <c r="G58" s="13" t="s">
        <v>35</v>
      </c>
      <c r="H58" s="13" t="s">
        <v>36</v>
      </c>
    </row>
    <row r="59" spans="1:9" s="122" customFormat="1" ht="45" x14ac:dyDescent="0.25">
      <c r="A59" s="821" t="s">
        <v>112</v>
      </c>
      <c r="B59" s="822"/>
      <c r="C59" s="822"/>
      <c r="D59" s="822"/>
      <c r="E59" s="823"/>
      <c r="F59" s="193">
        <f>'ENCARGOS e PROVISOES'!F59</f>
        <v>0</v>
      </c>
      <c r="G59" s="16" t="s">
        <v>113</v>
      </c>
      <c r="H59" s="63" t="s">
        <v>150</v>
      </c>
    </row>
    <row r="60" spans="1:9" s="122" customFormat="1" ht="15" x14ac:dyDescent="0.25">
      <c r="A60" s="814" t="s">
        <v>114</v>
      </c>
      <c r="B60" s="815"/>
      <c r="C60" s="815"/>
      <c r="D60" s="815"/>
      <c r="E60" s="816"/>
      <c r="F60" s="22">
        <f>SUM(F59:F59)</f>
        <v>0</v>
      </c>
      <c r="G60" s="178"/>
      <c r="H60" s="178"/>
    </row>
    <row r="61" spans="1:9" ht="26.25" customHeight="1" x14ac:dyDescent="0.2">
      <c r="A61" s="799" t="s">
        <v>115</v>
      </c>
      <c r="B61" s="800"/>
      <c r="C61" s="800"/>
      <c r="D61" s="800"/>
      <c r="E61" s="801"/>
      <c r="F61" s="23">
        <f>F60%*$F$23</f>
        <v>0</v>
      </c>
      <c r="G61" s="179" t="s">
        <v>142</v>
      </c>
      <c r="H61" s="180" t="s">
        <v>75</v>
      </c>
    </row>
    <row r="62" spans="1:9" ht="45.75" thickBot="1" x14ac:dyDescent="0.25">
      <c r="A62" s="802" t="s">
        <v>116</v>
      </c>
      <c r="B62" s="802"/>
      <c r="C62" s="802"/>
      <c r="D62" s="802"/>
      <c r="E62" s="802"/>
      <c r="F62" s="23">
        <f>ROUND(((F30+F37)+(F55+F44))*F60/100,2)</f>
        <v>0</v>
      </c>
      <c r="G62" s="181" t="s">
        <v>117</v>
      </c>
      <c r="H62" s="181" t="s">
        <v>118</v>
      </c>
    </row>
    <row r="63" spans="1:9" s="122" customFormat="1" ht="15.75" thickBot="1" x14ac:dyDescent="0.3">
      <c r="A63" s="803" t="s">
        <v>119</v>
      </c>
      <c r="B63" s="803"/>
      <c r="C63" s="803"/>
      <c r="D63" s="803"/>
      <c r="E63" s="803"/>
      <c r="F63" s="17">
        <f>F60+F61+F62</f>
        <v>0</v>
      </c>
      <c r="G63" s="177" t="s">
        <v>6</v>
      </c>
      <c r="H63" s="176"/>
    </row>
    <row r="64" spans="1:9" s="122" customFormat="1" ht="15" x14ac:dyDescent="0.25">
      <c r="A64" s="182"/>
      <c r="B64" s="182"/>
      <c r="C64" s="182"/>
      <c r="D64" s="182"/>
      <c r="E64" s="182"/>
      <c r="F64" s="183"/>
      <c r="G64" s="177"/>
      <c r="H64" s="176"/>
      <c r="I64" s="163"/>
    </row>
    <row r="65" spans="1:9" ht="18" thickBot="1" x14ac:dyDescent="0.35">
      <c r="A65" s="804" t="s">
        <v>120</v>
      </c>
      <c r="B65" s="804"/>
      <c r="C65" s="804"/>
      <c r="D65" s="804"/>
      <c r="E65" s="804"/>
      <c r="F65" s="804"/>
      <c r="G65" s="804"/>
      <c r="H65" s="12"/>
    </row>
    <row r="66" spans="1:9" ht="13.5" thickTop="1" x14ac:dyDescent="0.2">
      <c r="A66" s="243"/>
      <c r="B66" s="243"/>
      <c r="C66" s="243"/>
      <c r="D66" s="243"/>
      <c r="E66" s="243"/>
      <c r="F66" s="13" t="s">
        <v>6</v>
      </c>
      <c r="G66" s="13" t="s">
        <v>35</v>
      </c>
      <c r="H66" s="13" t="s">
        <v>36</v>
      </c>
    </row>
    <row r="67" spans="1:9" ht="45" x14ac:dyDescent="0.2">
      <c r="A67" s="805" t="s">
        <v>121</v>
      </c>
      <c r="B67" s="806"/>
      <c r="C67" s="806"/>
      <c r="D67" s="806"/>
      <c r="E67" s="807"/>
      <c r="F67" s="193">
        <f>'ENCARGOS e PROVISOES'!F67</f>
        <v>0</v>
      </c>
      <c r="G67" s="16" t="s">
        <v>143</v>
      </c>
      <c r="H67" s="63" t="s">
        <v>150</v>
      </c>
    </row>
    <row r="68" spans="1:9" ht="33.75" x14ac:dyDescent="0.2">
      <c r="A68" s="808" t="s">
        <v>122</v>
      </c>
      <c r="B68" s="809"/>
      <c r="C68" s="809"/>
      <c r="D68" s="809"/>
      <c r="E68" s="810"/>
      <c r="F68" s="192">
        <v>0.28999999999999998</v>
      </c>
      <c r="G68" s="16" t="s">
        <v>137</v>
      </c>
      <c r="H68" s="68" t="s">
        <v>151</v>
      </c>
    </row>
    <row r="69" spans="1:9" ht="121.5" customHeight="1" x14ac:dyDescent="0.2">
      <c r="A69" s="805" t="s">
        <v>23</v>
      </c>
      <c r="B69" s="806"/>
      <c r="C69" s="806"/>
      <c r="D69" s="806"/>
      <c r="E69" s="807"/>
      <c r="F69" s="193">
        <f>'ENCARGOS e PROVISOES'!F69</f>
        <v>0</v>
      </c>
      <c r="G69" s="184" t="s">
        <v>123</v>
      </c>
      <c r="H69" s="63" t="s">
        <v>150</v>
      </c>
    </row>
    <row r="70" spans="1:9" ht="56.25" x14ac:dyDescent="0.2">
      <c r="A70" s="805" t="s">
        <v>22</v>
      </c>
      <c r="B70" s="806"/>
      <c r="C70" s="806"/>
      <c r="D70" s="806"/>
      <c r="E70" s="807"/>
      <c r="F70" s="194">
        <f>'ENCARGOS e PROVISOES'!F70</f>
        <v>0</v>
      </c>
      <c r="G70" s="14" t="s">
        <v>138</v>
      </c>
      <c r="H70" s="68" t="s">
        <v>177</v>
      </c>
    </row>
    <row r="71" spans="1:9" ht="90" x14ac:dyDescent="0.2">
      <c r="A71" s="805" t="s">
        <v>24</v>
      </c>
      <c r="B71" s="806"/>
      <c r="C71" s="806"/>
      <c r="D71" s="806"/>
      <c r="E71" s="807"/>
      <c r="F71" s="193">
        <f>'ENCARGOS e PROVISOES'!F71</f>
        <v>0</v>
      </c>
      <c r="G71" s="14" t="s">
        <v>51</v>
      </c>
      <c r="H71" s="63" t="s">
        <v>150</v>
      </c>
    </row>
    <row r="72" spans="1:9" x14ac:dyDescent="0.2">
      <c r="A72" s="811" t="s">
        <v>124</v>
      </c>
      <c r="B72" s="812"/>
      <c r="C72" s="812"/>
      <c r="D72" s="812"/>
      <c r="E72" s="813"/>
      <c r="F72" s="32">
        <f>SUM(F67:F71)</f>
        <v>0.28999999999999998</v>
      </c>
      <c r="G72" s="33"/>
      <c r="H72" s="33"/>
    </row>
    <row r="73" spans="1:9" ht="26.25" customHeight="1" x14ac:dyDescent="0.2">
      <c r="A73" s="799" t="s">
        <v>125</v>
      </c>
      <c r="B73" s="800"/>
      <c r="C73" s="800"/>
      <c r="D73" s="800"/>
      <c r="E73" s="801"/>
      <c r="F73" s="34">
        <f>F72%*$F$23</f>
        <v>0</v>
      </c>
      <c r="G73" s="179" t="s">
        <v>142</v>
      </c>
      <c r="H73" s="180" t="s">
        <v>75</v>
      </c>
    </row>
    <row r="74" spans="1:9" ht="45.75" thickBot="1" x14ac:dyDescent="0.25">
      <c r="A74" s="802" t="s">
        <v>116</v>
      </c>
      <c r="B74" s="802"/>
      <c r="C74" s="802"/>
      <c r="D74" s="802"/>
      <c r="E74" s="802"/>
      <c r="F74" s="34">
        <f>ROUND(((F30+F37)+(F55+F44))*(F72)/100,2)</f>
        <v>0.05</v>
      </c>
      <c r="G74" s="181" t="s">
        <v>117</v>
      </c>
      <c r="H74" s="181" t="s">
        <v>118</v>
      </c>
    </row>
    <row r="75" spans="1:9" ht="13.5" thickBot="1" x14ac:dyDescent="0.25">
      <c r="A75" s="797" t="s">
        <v>126</v>
      </c>
      <c r="B75" s="797"/>
      <c r="C75" s="797"/>
      <c r="D75" s="797"/>
      <c r="E75" s="798"/>
      <c r="F75" s="17">
        <f>F72+F73+F74</f>
        <v>0.33999999999999997</v>
      </c>
      <c r="G75" s="18" t="s">
        <v>6</v>
      </c>
      <c r="H75" s="19"/>
    </row>
    <row r="76" spans="1:9" ht="13.5" thickBot="1" x14ac:dyDescent="0.25">
      <c r="A76" s="31"/>
      <c r="B76" s="31"/>
      <c r="C76" s="31"/>
      <c r="D76" s="31"/>
      <c r="E76" s="31"/>
      <c r="F76" s="10"/>
      <c r="G76" s="11"/>
      <c r="H76" s="11"/>
    </row>
    <row r="77" spans="1:9" ht="13.5" thickBot="1" x14ac:dyDescent="0.25">
      <c r="A77" s="786" t="s">
        <v>25</v>
      </c>
      <c r="B77" s="787"/>
      <c r="C77" s="787"/>
      <c r="D77" s="787"/>
      <c r="E77" s="787"/>
      <c r="F77" s="788"/>
      <c r="G77" s="788"/>
      <c r="H77" s="789"/>
    </row>
    <row r="78" spans="1:9" x14ac:dyDescent="0.2">
      <c r="A78" s="243"/>
      <c r="B78" s="243"/>
      <c r="C78" s="243"/>
      <c r="D78" s="243"/>
      <c r="E78" s="243"/>
      <c r="F78" s="35"/>
      <c r="G78" s="36"/>
      <c r="H78" s="36"/>
    </row>
    <row r="79" spans="1:9" ht="13.5" customHeight="1" thickBot="1" x14ac:dyDescent="0.25">
      <c r="A79" s="790" t="s">
        <v>26</v>
      </c>
      <c r="B79" s="790"/>
      <c r="C79" s="790"/>
      <c r="D79" s="790"/>
      <c r="E79" s="790"/>
      <c r="F79" s="37">
        <f>F23</f>
        <v>0</v>
      </c>
      <c r="G79" s="38"/>
      <c r="H79" s="243"/>
    </row>
    <row r="80" spans="1:9" ht="13.5" customHeight="1" thickBot="1" x14ac:dyDescent="0.25">
      <c r="A80" s="790" t="s">
        <v>127</v>
      </c>
      <c r="B80" s="790"/>
      <c r="C80" s="790"/>
      <c r="D80" s="790"/>
      <c r="E80" s="790"/>
      <c r="F80" s="49">
        <f>F55</f>
        <v>2.8333360000000001</v>
      </c>
      <c r="G80" s="38"/>
      <c r="H80" s="243"/>
      <c r="I80" s="185"/>
    </row>
    <row r="81" spans="1:8" ht="13.5" customHeight="1" thickBot="1" x14ac:dyDescent="0.25">
      <c r="A81" s="790" t="s">
        <v>128</v>
      </c>
      <c r="B81" s="790"/>
      <c r="C81" s="790"/>
      <c r="D81" s="790"/>
      <c r="E81" s="790"/>
      <c r="F81" s="37">
        <f>F75</f>
        <v>0.33999999999999997</v>
      </c>
      <c r="G81" s="38"/>
      <c r="H81" s="243"/>
    </row>
    <row r="82" spans="1:8" ht="13.5" thickBot="1" x14ac:dyDescent="0.25">
      <c r="A82" s="797" t="s">
        <v>178</v>
      </c>
      <c r="B82" s="797"/>
      <c r="C82" s="797"/>
      <c r="D82" s="797"/>
      <c r="E82" s="798"/>
      <c r="F82" s="39">
        <f>SUM(F79:F81)</f>
        <v>3.1733359999999999</v>
      </c>
      <c r="G82" s="18" t="s">
        <v>6</v>
      </c>
      <c r="H82" s="19"/>
    </row>
    <row r="83" spans="1:8" ht="13.5" customHeight="1" thickBot="1" x14ac:dyDescent="0.25">
      <c r="A83" s="793" t="s">
        <v>129</v>
      </c>
      <c r="B83" s="793"/>
      <c r="C83" s="793"/>
      <c r="D83" s="793"/>
      <c r="E83" s="793"/>
      <c r="F83" s="42">
        <f>F30</f>
        <v>8.33</v>
      </c>
      <c r="G83" s="243"/>
      <c r="H83" s="243"/>
    </row>
    <row r="84" spans="1:8" ht="13.5" customHeight="1" thickBot="1" x14ac:dyDescent="0.25">
      <c r="A84" s="794" t="s">
        <v>130</v>
      </c>
      <c r="B84" s="794"/>
      <c r="C84" s="794"/>
      <c r="D84" s="794"/>
      <c r="E84" s="794"/>
      <c r="F84" s="43">
        <f>F37</f>
        <v>2.78</v>
      </c>
      <c r="G84" s="243"/>
      <c r="H84" s="243"/>
    </row>
    <row r="85" spans="1:8" ht="13.5" customHeight="1" thickBot="1" x14ac:dyDescent="0.25">
      <c r="A85" s="790" t="s">
        <v>131</v>
      </c>
      <c r="B85" s="790"/>
      <c r="C85" s="790"/>
      <c r="D85" s="790"/>
      <c r="E85" s="790"/>
      <c r="F85" s="37">
        <f>F44</f>
        <v>4.4400000000000004</v>
      </c>
      <c r="G85" s="243"/>
      <c r="H85" s="243"/>
    </row>
    <row r="86" spans="1:8" ht="13.5" customHeight="1" thickBot="1" x14ac:dyDescent="0.25">
      <c r="A86" s="794" t="s">
        <v>132</v>
      </c>
      <c r="B86" s="794"/>
      <c r="C86" s="794"/>
      <c r="D86" s="794"/>
      <c r="E86" s="794"/>
      <c r="F86" s="44">
        <f>F63</f>
        <v>0</v>
      </c>
      <c r="G86" s="243"/>
      <c r="H86" s="243"/>
    </row>
    <row r="87" spans="1:8" ht="13.5" thickBot="1" x14ac:dyDescent="0.25">
      <c r="A87" s="852" t="s">
        <v>178</v>
      </c>
      <c r="B87" s="852"/>
      <c r="C87" s="852"/>
      <c r="D87" s="852"/>
      <c r="E87" s="852"/>
      <c r="F87" s="45">
        <f>SUM(F83:F86)</f>
        <v>15.55</v>
      </c>
      <c r="G87" s="41" t="s">
        <v>6</v>
      </c>
      <c r="H87" s="19"/>
    </row>
    <row r="88" spans="1:8" ht="13.5" thickBot="1" x14ac:dyDescent="0.25">
      <c r="A88" s="244"/>
      <c r="B88" s="244"/>
      <c r="C88" s="244"/>
      <c r="D88" s="244"/>
      <c r="E88" s="244"/>
      <c r="F88" s="40"/>
      <c r="G88" s="41"/>
      <c r="H88" s="19"/>
    </row>
    <row r="89" spans="1:8" ht="13.5" thickBot="1" x14ac:dyDescent="0.25">
      <c r="A89" s="795" t="s">
        <v>133</v>
      </c>
      <c r="B89" s="795"/>
      <c r="C89" s="795"/>
      <c r="D89" s="795"/>
      <c r="E89" s="796"/>
      <c r="F89" s="30">
        <f>F82+F87</f>
        <v>18.723336</v>
      </c>
      <c r="G89" s="41" t="s">
        <v>6</v>
      </c>
      <c r="H89" s="19"/>
    </row>
    <row r="90" spans="1:8" ht="15" x14ac:dyDescent="0.2">
      <c r="A90" s="46"/>
      <c r="B90" s="46"/>
      <c r="C90" s="46"/>
      <c r="D90" s="46"/>
      <c r="E90" s="46"/>
      <c r="F90" s="47"/>
      <c r="G90" s="47"/>
      <c r="H90" s="47"/>
    </row>
  </sheetData>
  <sheetProtection selectLockedCells="1"/>
  <mergeCells count="63">
    <mergeCell ref="A8:E9"/>
    <mergeCell ref="A1:H1"/>
    <mergeCell ref="A2:H2"/>
    <mergeCell ref="A3:H3"/>
    <mergeCell ref="A5:H5"/>
    <mergeCell ref="A6:H6"/>
    <mergeCell ref="A28:E28"/>
    <mergeCell ref="A11:H11"/>
    <mergeCell ref="A13:G13"/>
    <mergeCell ref="A15:E15"/>
    <mergeCell ref="A16:E16"/>
    <mergeCell ref="A17:E17"/>
    <mergeCell ref="A18:E18"/>
    <mergeCell ref="A19:E19"/>
    <mergeCell ref="A20:E20"/>
    <mergeCell ref="A22:E22"/>
    <mergeCell ref="A23:E23"/>
    <mergeCell ref="A27:E27"/>
    <mergeCell ref="A49:E49"/>
    <mergeCell ref="A29:E29"/>
    <mergeCell ref="A30:E30"/>
    <mergeCell ref="A34:E34"/>
    <mergeCell ref="A35:E35"/>
    <mergeCell ref="A36:E36"/>
    <mergeCell ref="A37:E37"/>
    <mergeCell ref="A41:E41"/>
    <mergeCell ref="A42:E42"/>
    <mergeCell ref="A43:E43"/>
    <mergeCell ref="A44:E44"/>
    <mergeCell ref="A48:E48"/>
    <mergeCell ref="A63:E63"/>
    <mergeCell ref="A50:E50"/>
    <mergeCell ref="A51:E51"/>
    <mergeCell ref="A52:E52"/>
    <mergeCell ref="A53:E53"/>
    <mergeCell ref="A54:E54"/>
    <mergeCell ref="A55:E55"/>
    <mergeCell ref="A57:G57"/>
    <mergeCell ref="A59:E59"/>
    <mergeCell ref="A60:E60"/>
    <mergeCell ref="A61:E61"/>
    <mergeCell ref="A62:E62"/>
    <mergeCell ref="A79:E79"/>
    <mergeCell ref="A65:G65"/>
    <mergeCell ref="A67:E67"/>
    <mergeCell ref="A68:E68"/>
    <mergeCell ref="A69:E69"/>
    <mergeCell ref="A70:E70"/>
    <mergeCell ref="A71:E71"/>
    <mergeCell ref="A72:E72"/>
    <mergeCell ref="A73:E73"/>
    <mergeCell ref="A74:E74"/>
    <mergeCell ref="A75:E75"/>
    <mergeCell ref="A77:H77"/>
    <mergeCell ref="A86:E86"/>
    <mergeCell ref="A87:E87"/>
    <mergeCell ref="A89:E89"/>
    <mergeCell ref="A80:E80"/>
    <mergeCell ref="A81:E81"/>
    <mergeCell ref="A82:E82"/>
    <mergeCell ref="A83:E83"/>
    <mergeCell ref="A84:E84"/>
    <mergeCell ref="A85:E85"/>
  </mergeCells>
  <conditionalFormatting sqref="G8">
    <cfRule type="expression" dxfId="1" priority="2">
      <formula>$F$8&lt;&gt;""</formula>
    </cfRule>
  </conditionalFormatting>
  <conditionalFormatting sqref="G9">
    <cfRule type="expression" dxfId="0" priority="1">
      <formula>$F$9&lt;&gt;""</formula>
    </cfRule>
  </conditionalFormatting>
  <printOptions horizontalCentered="1"/>
  <pageMargins left="0.51181102362204722" right="0.51181102362204722" top="0.78740157480314965" bottom="0.78740157480314965" header="0.31496062992125984" footer="0.31496062992125984"/>
  <pageSetup paperSize="9" scale="62" fitToHeight="3" orientation="portrait" r:id="rId1"/>
  <headerFooter>
    <oddHeader>&amp;R&amp;P</oddHeader>
    <oddFooter>&amp;LSACCON/CPC/SECAD&amp;R&amp;A
&amp;P/&amp;N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J46"/>
  <sheetViews>
    <sheetView showGridLines="0" view="pageBreakPreview" zoomScaleSheetLayoutView="100" workbookViewId="0">
      <selection activeCell="F11" sqref="F11"/>
    </sheetView>
  </sheetViews>
  <sheetFormatPr defaultRowHeight="15" x14ac:dyDescent="0.25"/>
  <cols>
    <col min="1" max="8" width="15.7109375" style="3" customWidth="1"/>
    <col min="9" max="16384" width="9.140625" style="3"/>
  </cols>
  <sheetData>
    <row r="1" spans="1:10" ht="18.75" x14ac:dyDescent="0.3">
      <c r="A1" s="855" t="str">
        <f>POSTOS!A1:O1</f>
        <v>TRIBUNAL REGIONAL ELEITORAL DO PARANÁ</v>
      </c>
      <c r="B1" s="855"/>
      <c r="C1" s="855"/>
      <c r="D1" s="855"/>
      <c r="E1" s="855"/>
      <c r="F1" s="855"/>
      <c r="G1" s="855"/>
      <c r="H1" s="855"/>
    </row>
    <row r="2" spans="1:10" ht="15" customHeight="1" x14ac:dyDescent="0.25">
      <c r="A2" s="856" t="str">
        <f>POSTOS!A2:O2</f>
        <v>PLANILHA DE FORMAÇÃO DE CUSTOS E PREÇOS - Proposta Detalhada</v>
      </c>
      <c r="B2" s="856"/>
      <c r="C2" s="856"/>
      <c r="D2" s="856"/>
      <c r="E2" s="856"/>
      <c r="F2" s="856"/>
      <c r="G2" s="856"/>
      <c r="H2" s="856"/>
    </row>
    <row r="3" spans="1:10" ht="15.75" x14ac:dyDescent="0.25">
      <c r="A3" s="857" t="str">
        <f>POSTOS!A3:O3</f>
        <v>Apoio Operacional Especializado - Encarregado e Auxiliar de Almoxarifado, e Marceneiro</v>
      </c>
      <c r="B3" s="857"/>
      <c r="C3" s="857"/>
      <c r="D3" s="857"/>
      <c r="E3" s="857"/>
      <c r="F3" s="857"/>
      <c r="G3" s="857"/>
      <c r="H3" s="857"/>
    </row>
    <row r="4" spans="1:10" s="2" customFormat="1" ht="15.75" x14ac:dyDescent="0.2">
      <c r="A4" s="598"/>
      <c r="B4" s="598"/>
      <c r="C4" s="598"/>
      <c r="D4" s="258"/>
      <c r="F4" s="51"/>
      <c r="G4" s="51"/>
      <c r="H4" s="51"/>
      <c r="I4" s="51"/>
      <c r="J4" s="52"/>
    </row>
    <row r="5" spans="1:10" ht="15" customHeight="1" x14ac:dyDescent="0.25">
      <c r="A5" s="858" t="str">
        <f>POSTOS!A9:O9</f>
        <v>NOME DA EMPRESA</v>
      </c>
      <c r="B5" s="859"/>
      <c r="C5" s="859"/>
      <c r="D5" s="859"/>
      <c r="E5" s="859"/>
      <c r="F5" s="859"/>
      <c r="G5" s="859"/>
      <c r="H5" s="860"/>
    </row>
    <row r="6" spans="1:10" ht="15" customHeight="1" x14ac:dyDescent="0.25">
      <c r="A6" s="861" t="str">
        <f>POSTOS!A10:O10</f>
        <v>CNPJ</v>
      </c>
      <c r="B6" s="862"/>
      <c r="C6" s="862"/>
      <c r="D6" s="862"/>
      <c r="E6" s="862"/>
      <c r="F6" s="862"/>
      <c r="G6" s="862"/>
      <c r="H6" s="863"/>
    </row>
    <row r="7" spans="1:10" x14ac:dyDescent="0.25">
      <c r="A7" s="53"/>
      <c r="B7" s="53"/>
      <c r="C7" s="53"/>
      <c r="D7" s="259"/>
    </row>
    <row r="8" spans="1:10" ht="15" customHeight="1" x14ac:dyDescent="0.25">
      <c r="A8" s="864" t="s">
        <v>27</v>
      </c>
      <c r="B8" s="865"/>
      <c r="C8" s="865"/>
      <c r="D8" s="865"/>
      <c r="E8" s="865"/>
      <c r="F8" s="865"/>
      <c r="G8" s="865"/>
      <c r="H8" s="866"/>
    </row>
    <row r="9" spans="1:10" ht="15.75" thickBot="1" x14ac:dyDescent="0.3">
      <c r="A9" s="54"/>
      <c r="B9" s="54"/>
      <c r="C9" s="54"/>
      <c r="D9" s="259"/>
    </row>
    <row r="10" spans="1:10" ht="15.75" thickBot="1" x14ac:dyDescent="0.3">
      <c r="A10" s="259"/>
      <c r="C10" s="867" t="s">
        <v>8</v>
      </c>
      <c r="D10" s="868"/>
      <c r="E10" s="869"/>
      <c r="F10" s="595" t="s">
        <v>144</v>
      </c>
    </row>
    <row r="11" spans="1:10" x14ac:dyDescent="0.25">
      <c r="A11" s="259"/>
      <c r="C11" s="870" t="s">
        <v>28</v>
      </c>
      <c r="D11" s="871"/>
      <c r="E11" s="872"/>
      <c r="F11" s="609"/>
    </row>
    <row r="12" spans="1:10" x14ac:dyDescent="0.25">
      <c r="A12" s="259"/>
      <c r="C12" s="873" t="s">
        <v>29</v>
      </c>
      <c r="D12" s="874"/>
      <c r="E12" s="875"/>
      <c r="F12" s="610"/>
    </row>
    <row r="13" spans="1:10" x14ac:dyDescent="0.25">
      <c r="A13" s="259"/>
      <c r="C13" s="873" t="s">
        <v>191</v>
      </c>
      <c r="D13" s="874"/>
      <c r="E13" s="875"/>
      <c r="F13" s="611"/>
    </row>
    <row r="14" spans="1:10" x14ac:dyDescent="0.25">
      <c r="A14" s="259"/>
      <c r="C14" s="873" t="s">
        <v>192</v>
      </c>
      <c r="D14" s="874"/>
      <c r="E14" s="875"/>
      <c r="F14" s="611"/>
    </row>
    <row r="15" spans="1:10" x14ac:dyDescent="0.25">
      <c r="A15" s="259"/>
      <c r="C15" s="873" t="s">
        <v>30</v>
      </c>
      <c r="D15" s="874"/>
      <c r="E15" s="875"/>
      <c r="F15" s="611"/>
    </row>
    <row r="16" spans="1:10" ht="15.75" thickBot="1" x14ac:dyDescent="0.3">
      <c r="A16" s="259"/>
      <c r="C16" s="876" t="s">
        <v>145</v>
      </c>
      <c r="D16" s="877"/>
      <c r="E16" s="878"/>
      <c r="F16" s="612"/>
    </row>
    <row r="17" spans="1:8" s="260" customFormat="1" ht="15.75" customHeight="1" thickBot="1" x14ac:dyDescent="0.25">
      <c r="A17" s="142"/>
      <c r="C17" s="879" t="s">
        <v>193</v>
      </c>
      <c r="D17" s="880"/>
      <c r="E17" s="881"/>
      <c r="F17" s="261">
        <f>ROUND(((1+F11)*(1+F12)/(1-(F13+F14+F15+F16))-1),4)</f>
        <v>0</v>
      </c>
    </row>
    <row r="18" spans="1:8" s="1" customFormat="1" ht="12.75" x14ac:dyDescent="0.2">
      <c r="A18" s="262"/>
      <c r="B18" s="69"/>
      <c r="C18" s="69"/>
      <c r="D18" s="55"/>
    </row>
    <row r="19" spans="1:8" s="1" customFormat="1" ht="13.5" thickBot="1" x14ac:dyDescent="0.25">
      <c r="A19" s="882" t="s">
        <v>31</v>
      </c>
      <c r="B19" s="882"/>
      <c r="C19" s="882"/>
      <c r="D19" s="882"/>
      <c r="E19" s="882"/>
      <c r="F19" s="882"/>
      <c r="G19" s="882"/>
      <c r="H19" s="882"/>
    </row>
    <row r="20" spans="1:8" s="1" customFormat="1" ht="13.5" thickTop="1" x14ac:dyDescent="0.2">
      <c r="A20" s="883" t="s">
        <v>146</v>
      </c>
      <c r="B20" s="884"/>
      <c r="C20" s="596"/>
      <c r="D20" s="55"/>
    </row>
    <row r="21" spans="1:8" s="1" customFormat="1" ht="12.75" x14ac:dyDescent="0.2">
      <c r="A21" s="56"/>
      <c r="B21" s="285"/>
      <c r="C21" s="285"/>
      <c r="D21" s="55"/>
    </row>
    <row r="22" spans="1:8" s="57" customFormat="1" ht="15.75" customHeight="1" thickBot="1" x14ac:dyDescent="0.25">
      <c r="A22" s="885" t="s">
        <v>68</v>
      </c>
      <c r="B22" s="885"/>
      <c r="C22" s="885"/>
      <c r="D22" s="885"/>
      <c r="E22" s="885"/>
      <c r="F22" s="885"/>
      <c r="G22" s="885"/>
      <c r="H22" s="885"/>
    </row>
    <row r="23" spans="1:8" s="58" customFormat="1" ht="30" customHeight="1" thickTop="1" thickBot="1" x14ac:dyDescent="0.25">
      <c r="A23" s="886" t="s">
        <v>194</v>
      </c>
      <c r="B23" s="886"/>
      <c r="C23" s="886"/>
      <c r="D23" s="886"/>
      <c r="E23" s="886"/>
      <c r="F23" s="886"/>
      <c r="G23" s="886"/>
      <c r="H23" s="886"/>
    </row>
    <row r="24" spans="1:8" s="58" customFormat="1" ht="30" customHeight="1" thickTop="1" thickBot="1" x14ac:dyDescent="0.25">
      <c r="A24" s="890" t="s">
        <v>147</v>
      </c>
      <c r="B24" s="890"/>
      <c r="C24" s="890"/>
      <c r="D24" s="890"/>
      <c r="E24" s="890"/>
      <c r="F24" s="890"/>
      <c r="G24" s="890"/>
      <c r="H24" s="890"/>
    </row>
    <row r="25" spans="1:8" s="59" customFormat="1" ht="30" customHeight="1" thickTop="1" x14ac:dyDescent="0.2">
      <c r="A25" s="891" t="s">
        <v>195</v>
      </c>
      <c r="B25" s="891"/>
      <c r="C25" s="891"/>
      <c r="D25" s="891"/>
      <c r="E25" s="891"/>
      <c r="F25" s="891"/>
      <c r="G25" s="891"/>
      <c r="H25" s="891"/>
    </row>
    <row r="26" spans="1:8" s="60" customFormat="1" ht="42" customHeight="1" x14ac:dyDescent="0.25">
      <c r="A26" s="892" t="s">
        <v>148</v>
      </c>
      <c r="B26" s="892"/>
      <c r="C26" s="892"/>
      <c r="D26" s="892"/>
      <c r="E26" s="892"/>
      <c r="F26" s="892"/>
      <c r="G26" s="892"/>
      <c r="H26" s="892"/>
    </row>
    <row r="27" spans="1:8" s="59" customFormat="1" ht="30" customHeight="1" x14ac:dyDescent="0.2">
      <c r="A27" s="893" t="s">
        <v>196</v>
      </c>
      <c r="B27" s="893"/>
      <c r="C27" s="893"/>
      <c r="D27" s="893"/>
      <c r="E27" s="893"/>
      <c r="F27" s="893"/>
      <c r="G27" s="893"/>
      <c r="H27" s="893"/>
    </row>
    <row r="29" spans="1:8" ht="15.75" hidden="1" customHeight="1" thickBot="1" x14ac:dyDescent="0.3">
      <c r="A29" s="894" t="s">
        <v>197</v>
      </c>
      <c r="B29" s="894"/>
      <c r="C29" s="894"/>
      <c r="D29" s="894"/>
      <c r="E29" s="894"/>
      <c r="F29" s="894"/>
      <c r="G29" s="894"/>
      <c r="H29" s="894"/>
    </row>
    <row r="30" spans="1:8" ht="16.5" hidden="1" thickTop="1" thickBot="1" x14ac:dyDescent="0.3"/>
    <row r="31" spans="1:8" ht="15.75" hidden="1" thickBot="1" x14ac:dyDescent="0.3">
      <c r="A31" s="887" t="s">
        <v>198</v>
      </c>
      <c r="B31" s="888"/>
      <c r="C31" s="888"/>
      <c r="D31" s="888"/>
      <c r="E31" s="888"/>
      <c r="F31" s="888"/>
      <c r="G31" s="888"/>
      <c r="H31" s="889"/>
    </row>
    <row r="32" spans="1:8" s="264" customFormat="1" ht="30" hidden="1" customHeight="1" x14ac:dyDescent="0.2">
      <c r="A32" s="263" t="s">
        <v>199</v>
      </c>
      <c r="B32" s="263" t="s">
        <v>200</v>
      </c>
      <c r="C32" s="263" t="s">
        <v>201</v>
      </c>
      <c r="D32" s="263" t="s">
        <v>202</v>
      </c>
      <c r="E32" s="263" t="s">
        <v>203</v>
      </c>
      <c r="F32" s="263" t="s">
        <v>204</v>
      </c>
      <c r="G32" s="263" t="s">
        <v>205</v>
      </c>
      <c r="H32" s="263" t="s">
        <v>206</v>
      </c>
    </row>
    <row r="33" spans="1:8" hidden="1" x14ac:dyDescent="0.25">
      <c r="A33" s="265"/>
      <c r="B33" s="613"/>
      <c r="C33" s="613"/>
      <c r="D33" s="613"/>
      <c r="E33" s="266">
        <f>IFERROR((C33-D33)/B33,0)</f>
        <v>0</v>
      </c>
      <c r="F33" s="267"/>
      <c r="G33" s="267"/>
      <c r="H33" s="266">
        <f>IFERROR((F33-G33)/B33,0)</f>
        <v>0</v>
      </c>
    </row>
    <row r="34" spans="1:8" hidden="1" x14ac:dyDescent="0.25">
      <c r="A34" s="265"/>
      <c r="B34" s="613"/>
      <c r="C34" s="613"/>
      <c r="D34" s="613"/>
      <c r="E34" s="266">
        <f t="shared" ref="E34:E44" si="0">IFERROR((C34-D34)/B34,0)</f>
        <v>0</v>
      </c>
      <c r="F34" s="267"/>
      <c r="G34" s="267"/>
      <c r="H34" s="266">
        <f t="shared" ref="H34:H44" si="1">IFERROR((F34-G34)/B34,0)</f>
        <v>0</v>
      </c>
    </row>
    <row r="35" spans="1:8" hidden="1" x14ac:dyDescent="0.25">
      <c r="A35" s="265"/>
      <c r="B35" s="613"/>
      <c r="C35" s="613"/>
      <c r="D35" s="613"/>
      <c r="E35" s="266">
        <f t="shared" si="0"/>
        <v>0</v>
      </c>
      <c r="F35" s="267"/>
      <c r="G35" s="267"/>
      <c r="H35" s="266">
        <f t="shared" si="1"/>
        <v>0</v>
      </c>
    </row>
    <row r="36" spans="1:8" hidden="1" x14ac:dyDescent="0.25">
      <c r="A36" s="265"/>
      <c r="B36" s="613"/>
      <c r="C36" s="613"/>
      <c r="D36" s="613"/>
      <c r="E36" s="266">
        <f t="shared" si="0"/>
        <v>0</v>
      </c>
      <c r="F36" s="267"/>
      <c r="G36" s="267"/>
      <c r="H36" s="266">
        <f t="shared" si="1"/>
        <v>0</v>
      </c>
    </row>
    <row r="37" spans="1:8" hidden="1" x14ac:dyDescent="0.25">
      <c r="A37" s="265"/>
      <c r="B37" s="613"/>
      <c r="C37" s="613"/>
      <c r="D37" s="613"/>
      <c r="E37" s="266">
        <f t="shared" si="0"/>
        <v>0</v>
      </c>
      <c r="F37" s="267"/>
      <c r="G37" s="267"/>
      <c r="H37" s="266">
        <f t="shared" si="1"/>
        <v>0</v>
      </c>
    </row>
    <row r="38" spans="1:8" hidden="1" x14ac:dyDescent="0.25">
      <c r="A38" s="265"/>
      <c r="B38" s="613"/>
      <c r="C38" s="613"/>
      <c r="D38" s="613"/>
      <c r="E38" s="266">
        <f t="shared" si="0"/>
        <v>0</v>
      </c>
      <c r="F38" s="267"/>
      <c r="G38" s="267"/>
      <c r="H38" s="266">
        <f t="shared" si="1"/>
        <v>0</v>
      </c>
    </row>
    <row r="39" spans="1:8" hidden="1" x14ac:dyDescent="0.25">
      <c r="A39" s="265"/>
      <c r="B39" s="613"/>
      <c r="C39" s="613"/>
      <c r="D39" s="613"/>
      <c r="E39" s="266">
        <f t="shared" si="0"/>
        <v>0</v>
      </c>
      <c r="F39" s="267"/>
      <c r="G39" s="267"/>
      <c r="H39" s="266">
        <f t="shared" si="1"/>
        <v>0</v>
      </c>
    </row>
    <row r="40" spans="1:8" hidden="1" x14ac:dyDescent="0.25">
      <c r="A40" s="265"/>
      <c r="B40" s="613"/>
      <c r="C40" s="613"/>
      <c r="D40" s="613"/>
      <c r="E40" s="266">
        <f t="shared" si="0"/>
        <v>0</v>
      </c>
      <c r="F40" s="267"/>
      <c r="G40" s="267"/>
      <c r="H40" s="266">
        <f t="shared" si="1"/>
        <v>0</v>
      </c>
    </row>
    <row r="41" spans="1:8" hidden="1" x14ac:dyDescent="0.25">
      <c r="A41" s="265"/>
      <c r="B41" s="613"/>
      <c r="C41" s="613"/>
      <c r="D41" s="613"/>
      <c r="E41" s="266">
        <f t="shared" si="0"/>
        <v>0</v>
      </c>
      <c r="F41" s="267"/>
      <c r="G41" s="267"/>
      <c r="H41" s="266">
        <f t="shared" si="1"/>
        <v>0</v>
      </c>
    </row>
    <row r="42" spans="1:8" hidden="1" x14ac:dyDescent="0.25">
      <c r="A42" s="265"/>
      <c r="B42" s="613"/>
      <c r="C42" s="613"/>
      <c r="D42" s="613"/>
      <c r="E42" s="266">
        <f t="shared" si="0"/>
        <v>0</v>
      </c>
      <c r="F42" s="267"/>
      <c r="G42" s="267"/>
      <c r="H42" s="266">
        <f t="shared" si="1"/>
        <v>0</v>
      </c>
    </row>
    <row r="43" spans="1:8" hidden="1" x14ac:dyDescent="0.25">
      <c r="A43" s="265"/>
      <c r="B43" s="613"/>
      <c r="C43" s="613"/>
      <c r="D43" s="613"/>
      <c r="E43" s="266">
        <f t="shared" si="0"/>
        <v>0</v>
      </c>
      <c r="F43" s="267"/>
      <c r="G43" s="267"/>
      <c r="H43" s="266">
        <f t="shared" si="1"/>
        <v>0</v>
      </c>
    </row>
    <row r="44" spans="1:8" ht="15.75" hidden="1" thickBot="1" x14ac:dyDescent="0.3">
      <c r="A44" s="265"/>
      <c r="B44" s="613"/>
      <c r="C44" s="613"/>
      <c r="D44" s="613"/>
      <c r="E44" s="266">
        <f t="shared" si="0"/>
        <v>0</v>
      </c>
      <c r="F44" s="267"/>
      <c r="G44" s="267"/>
      <c r="H44" s="266">
        <f t="shared" si="1"/>
        <v>0</v>
      </c>
    </row>
    <row r="45" spans="1:8" ht="15.75" hidden="1" thickBot="1" x14ac:dyDescent="0.3">
      <c r="A45" s="268"/>
      <c r="B45" s="268"/>
      <c r="C45" s="269"/>
      <c r="D45" s="270" t="s">
        <v>207</v>
      </c>
      <c r="E45" s="271">
        <f>TRUNC(AVERAGE(E33:E44),4)</f>
        <v>0</v>
      </c>
      <c r="G45" s="272" t="s">
        <v>208</v>
      </c>
      <c r="H45" s="271">
        <f>TRUNC(AVERAGE(H33:H44),4)</f>
        <v>0</v>
      </c>
    </row>
    <row r="46" spans="1:8" hidden="1" x14ac:dyDescent="0.25"/>
  </sheetData>
  <sheetProtection algorithmName="SHA-512" hashValue="KlZyDL8ALsQNA03Fj+qBODoprz9GFgBpFGOwfcLyVOFTjqq0TSP7pMGiV8Uf0ii5+HseMoSmg2yCpz7uWRzDIQ==" saltValue="B9f6V137bB9WtvBpxxnAZg==" spinCount="100000" sheet="1" objects="1" scenarios="1" selectLockedCells="1"/>
  <mergeCells count="24">
    <mergeCell ref="A20:B20"/>
    <mergeCell ref="A22:H22"/>
    <mergeCell ref="A23:H23"/>
    <mergeCell ref="A31:H31"/>
    <mergeCell ref="A24:H24"/>
    <mergeCell ref="A25:H25"/>
    <mergeCell ref="A26:H26"/>
    <mergeCell ref="A27:H27"/>
    <mergeCell ref="A29:H29"/>
    <mergeCell ref="C14:E14"/>
    <mergeCell ref="C15:E15"/>
    <mergeCell ref="C16:E16"/>
    <mergeCell ref="C17:E17"/>
    <mergeCell ref="A19:H19"/>
    <mergeCell ref="A8:H8"/>
    <mergeCell ref="C10:E10"/>
    <mergeCell ref="C11:E11"/>
    <mergeCell ref="C12:E12"/>
    <mergeCell ref="C13:E13"/>
    <mergeCell ref="A1:H1"/>
    <mergeCell ref="A2:H2"/>
    <mergeCell ref="A3:H3"/>
    <mergeCell ref="A5:H5"/>
    <mergeCell ref="A6:H6"/>
  </mergeCells>
  <printOptions horizontalCentered="1"/>
  <pageMargins left="0.51181102362204722" right="0.51181102362204722" top="0.94488188976377963" bottom="1.1811023622047245" header="0.31496062992125984" footer="0.39370078740157483"/>
  <pageSetup paperSize="9" scale="75" orientation="portrait" r:id="rId1"/>
  <headerFooter>
    <oddHeader>&amp;C&amp;G&amp;R&amp;8&amp;P</oddHeader>
    <oddFooter>&amp;L&amp;G
        &amp;"Arial,Negrito"&amp;8&amp;K00-030SACCON/CPC/SECAD&amp;R&amp;A
Página &amp;P/&amp;N</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P54"/>
  <sheetViews>
    <sheetView showGridLines="0" view="pageBreakPreview" zoomScale="80" zoomScaleNormal="100" zoomScaleSheetLayoutView="80" workbookViewId="0">
      <selection activeCell="F15" sqref="F15"/>
    </sheetView>
  </sheetViews>
  <sheetFormatPr defaultRowHeight="12.75" x14ac:dyDescent="0.2"/>
  <cols>
    <col min="1" max="1" width="5.5703125" style="1" customWidth="1"/>
    <col min="2" max="2" width="50.7109375" style="1" customWidth="1"/>
    <col min="3" max="3" width="13.7109375" style="1" customWidth="1"/>
    <col min="4" max="11" width="15.7109375" style="1" customWidth="1"/>
    <col min="12" max="12" width="5.7109375" style="1" hidden="1" customWidth="1"/>
    <col min="13" max="15" width="10.7109375" style="1" hidden="1" customWidth="1"/>
    <col min="16" max="16" width="45.7109375" style="1" hidden="1" customWidth="1"/>
    <col min="17" max="16384" width="9.140625" style="1"/>
  </cols>
  <sheetData>
    <row r="1" spans="1:16" s="324" customFormat="1" ht="18" customHeight="1" x14ac:dyDescent="0.2">
      <c r="A1" s="908" t="str">
        <f>POSTOS!A1:W1</f>
        <v>TRIBUNAL REGIONAL ELEITORAL DO PARANÁ</v>
      </c>
      <c r="B1" s="908"/>
      <c r="C1" s="908"/>
      <c r="D1" s="908"/>
      <c r="E1" s="908"/>
      <c r="F1" s="908"/>
      <c r="G1" s="908"/>
      <c r="H1" s="908"/>
      <c r="I1" s="908"/>
      <c r="J1" s="908"/>
      <c r="K1" s="908"/>
      <c r="L1" s="2"/>
      <c r="M1" s="2"/>
      <c r="N1" s="2"/>
      <c r="O1" s="2"/>
      <c r="P1" s="2"/>
    </row>
    <row r="2" spans="1:16" s="2" customFormat="1" ht="15.95" customHeight="1" x14ac:dyDescent="0.2">
      <c r="A2" s="909" t="str">
        <f>POSTOS!A2:W2</f>
        <v>PLANILHA DE FORMAÇÃO DE CUSTOS E PREÇOS - Proposta Detalhada</v>
      </c>
      <c r="B2" s="909"/>
      <c r="C2" s="909"/>
      <c r="D2" s="909"/>
      <c r="E2" s="909"/>
      <c r="F2" s="909"/>
      <c r="G2" s="909"/>
      <c r="H2" s="909"/>
      <c r="I2" s="909"/>
      <c r="J2" s="909"/>
      <c r="K2" s="909"/>
    </row>
    <row r="3" spans="1:16" s="2" customFormat="1" ht="15.95" customHeight="1" x14ac:dyDescent="0.2">
      <c r="A3" s="910" t="str">
        <f>POSTOS!A3:W3</f>
        <v>Apoio Operacional Especializado - Encarregado e Auxiliar de Almoxarifado, e Marceneiro</v>
      </c>
      <c r="B3" s="910"/>
      <c r="C3" s="910"/>
      <c r="D3" s="910"/>
      <c r="E3" s="910"/>
      <c r="F3" s="910"/>
      <c r="G3" s="910"/>
      <c r="H3" s="910"/>
      <c r="I3" s="910"/>
      <c r="J3" s="910"/>
      <c r="K3" s="910"/>
    </row>
    <row r="4" spans="1:16" s="2" customFormat="1" ht="12.75" customHeight="1" x14ac:dyDescent="0.2">
      <c r="A4" s="99"/>
      <c r="B4" s="99"/>
      <c r="C4" s="99"/>
      <c r="D4" s="99"/>
      <c r="E4" s="99"/>
      <c r="F4" s="99"/>
      <c r="G4" s="99"/>
      <c r="H4" s="99"/>
      <c r="I4" s="99"/>
      <c r="J4" s="99"/>
      <c r="K4" s="99"/>
    </row>
    <row r="5" spans="1:16" s="2" customFormat="1" x14ac:dyDescent="0.2">
      <c r="A5" s="99"/>
      <c r="B5" s="99"/>
      <c r="C5" s="99"/>
      <c r="D5" s="99"/>
      <c r="E5" s="99"/>
      <c r="F5" s="99"/>
      <c r="G5" s="99"/>
      <c r="H5" s="99"/>
      <c r="I5" s="99"/>
      <c r="J5" s="99"/>
      <c r="K5" s="99"/>
    </row>
    <row r="6" spans="1:16" s="2" customFormat="1" ht="15" customHeight="1" x14ac:dyDescent="0.2">
      <c r="A6" s="911" t="str">
        <f>POSTOS!A9:W9</f>
        <v>NOME DA EMPRESA</v>
      </c>
      <c r="B6" s="912"/>
      <c r="C6" s="912"/>
      <c r="D6" s="912"/>
      <c r="E6" s="912"/>
      <c r="F6" s="912"/>
      <c r="G6" s="912"/>
      <c r="H6" s="912"/>
      <c r="I6" s="912"/>
      <c r="J6" s="912"/>
      <c r="K6" s="913"/>
    </row>
    <row r="7" spans="1:16" s="2" customFormat="1" ht="15" customHeight="1" x14ac:dyDescent="0.2">
      <c r="A7" s="914" t="str">
        <f>POSTOS!A10:W10</f>
        <v>CNPJ</v>
      </c>
      <c r="B7" s="915"/>
      <c r="C7" s="915"/>
      <c r="D7" s="915"/>
      <c r="E7" s="915"/>
      <c r="F7" s="915"/>
      <c r="G7" s="915"/>
      <c r="H7" s="915"/>
      <c r="I7" s="915"/>
      <c r="J7" s="915"/>
      <c r="K7" s="916"/>
    </row>
    <row r="8" spans="1:16" s="2" customFormat="1" ht="13.5" thickBot="1" x14ac:dyDescent="0.25">
      <c r="A8" s="325"/>
      <c r="B8" s="325"/>
      <c r="C8" s="325"/>
      <c r="D8" s="325"/>
      <c r="E8" s="325"/>
      <c r="F8" s="325"/>
      <c r="G8" s="325"/>
      <c r="H8" s="325"/>
      <c r="I8" s="325"/>
      <c r="J8" s="325"/>
      <c r="K8" s="325"/>
    </row>
    <row r="9" spans="1:16" s="2" customFormat="1" ht="30" customHeight="1" thickBot="1" x14ac:dyDescent="0.25">
      <c r="A9" s="917" t="s">
        <v>369</v>
      </c>
      <c r="B9" s="918"/>
      <c r="C9" s="918"/>
      <c r="D9" s="918"/>
      <c r="E9" s="918"/>
      <c r="F9" s="918"/>
      <c r="G9" s="918"/>
      <c r="H9" s="918"/>
      <c r="I9" s="918"/>
      <c r="J9" s="918"/>
      <c r="K9" s="919"/>
    </row>
    <row r="10" spans="1:16" s="2" customFormat="1" ht="15.75" customHeight="1" x14ac:dyDescent="0.2">
      <c r="A10" s="77"/>
      <c r="B10" s="77"/>
      <c r="C10" s="77"/>
      <c r="D10" s="77"/>
      <c r="E10" s="77"/>
      <c r="F10" s="77"/>
      <c r="G10" s="77"/>
      <c r="H10" s="77"/>
      <c r="I10" s="77"/>
      <c r="J10" s="77"/>
      <c r="K10" s="77"/>
    </row>
    <row r="11" spans="1:16" s="2" customFormat="1" ht="15.75" customHeight="1" x14ac:dyDescent="0.2">
      <c r="A11" s="354" t="s">
        <v>371</v>
      </c>
      <c r="B11" s="124"/>
      <c r="C11" s="124"/>
      <c r="D11" s="124"/>
      <c r="E11" s="124"/>
      <c r="F11" s="124"/>
      <c r="G11" s="124"/>
      <c r="H11" s="124"/>
      <c r="I11" s="326"/>
      <c r="J11" s="326"/>
      <c r="K11" s="77"/>
    </row>
    <row r="12" spans="1:16" s="2" customFormat="1" ht="15.75" customHeight="1" x14ac:dyDescent="0.2">
      <c r="A12" s="903" t="s">
        <v>372</v>
      </c>
      <c r="B12" s="903"/>
      <c r="C12" s="903"/>
      <c r="D12" s="903"/>
      <c r="E12" s="903"/>
      <c r="F12" s="903"/>
      <c r="G12" s="903"/>
      <c r="H12" s="903"/>
      <c r="I12" s="597"/>
      <c r="J12" s="597"/>
      <c r="K12" s="77"/>
    </row>
    <row r="13" spans="1:16" s="2" customFormat="1" ht="15.75" customHeight="1" x14ac:dyDescent="0.2">
      <c r="A13" s="77"/>
      <c r="B13" s="77"/>
      <c r="C13" s="77"/>
      <c r="D13" s="77"/>
      <c r="E13" s="77"/>
      <c r="F13" s="77"/>
      <c r="G13" s="77"/>
      <c r="H13" s="77"/>
      <c r="I13" s="77"/>
      <c r="J13" s="77"/>
      <c r="K13" s="77"/>
    </row>
    <row r="14" spans="1:16" s="534" customFormat="1" ht="30" customHeight="1" x14ac:dyDescent="0.2">
      <c r="A14" s="78"/>
      <c r="B14" s="78"/>
      <c r="C14" s="904" t="s">
        <v>229</v>
      </c>
      <c r="D14" s="905"/>
      <c r="E14" s="78"/>
      <c r="F14" s="531" t="s">
        <v>230</v>
      </c>
      <c r="G14" s="531" t="s">
        <v>231</v>
      </c>
      <c r="H14" s="78"/>
      <c r="I14" s="532" t="s">
        <v>210</v>
      </c>
      <c r="J14" s="533"/>
      <c r="K14" s="531" t="s">
        <v>233</v>
      </c>
    </row>
    <row r="15" spans="1:16" s="2" customFormat="1" ht="15.75" customHeight="1" x14ac:dyDescent="0.2">
      <c r="A15" s="77"/>
      <c r="B15" s="77"/>
      <c r="C15" s="906">
        <f>POSTOS!C31</f>
        <v>30</v>
      </c>
      <c r="D15" s="907"/>
      <c r="E15" s="77"/>
      <c r="F15" s="633"/>
      <c r="G15" s="634"/>
      <c r="H15" s="77"/>
      <c r="I15" s="328">
        <f>CITL!F17</f>
        <v>0</v>
      </c>
      <c r="J15" s="329"/>
      <c r="K15" s="330">
        <v>1</v>
      </c>
    </row>
    <row r="16" spans="1:16" s="358" customFormat="1" ht="15.75" customHeight="1" x14ac:dyDescent="0.2">
      <c r="A16" s="77"/>
      <c r="B16" s="77"/>
      <c r="C16" s="605"/>
      <c r="D16" s="605"/>
      <c r="E16" s="77"/>
      <c r="F16" s="355"/>
      <c r="G16" s="356"/>
      <c r="H16" s="77"/>
      <c r="I16" s="283"/>
      <c r="J16" s="283"/>
      <c r="K16" s="357"/>
    </row>
    <row r="17" spans="1:16" s="2" customFormat="1" ht="16.5" thickBot="1" x14ac:dyDescent="0.3">
      <c r="A17" s="375" t="s">
        <v>291</v>
      </c>
      <c r="B17" s="376"/>
      <c r="C17" s="414"/>
      <c r="D17" s="331"/>
      <c r="E17" s="331"/>
      <c r="F17" s="331"/>
      <c r="G17" s="331"/>
      <c r="H17" s="331"/>
      <c r="I17" s="331"/>
      <c r="J17" s="331"/>
      <c r="K17" s="331"/>
    </row>
    <row r="18" spans="1:16" s="333" customFormat="1" ht="45" customHeight="1" thickTop="1" x14ac:dyDescent="0.2">
      <c r="A18" s="332" t="s">
        <v>8</v>
      </c>
      <c r="B18" s="332" t="s">
        <v>190</v>
      </c>
      <c r="C18" s="332" t="s">
        <v>234</v>
      </c>
      <c r="D18" s="332" t="s">
        <v>235</v>
      </c>
      <c r="E18" s="332" t="s">
        <v>236</v>
      </c>
      <c r="F18" s="332" t="s">
        <v>237</v>
      </c>
      <c r="G18" s="332" t="s">
        <v>238</v>
      </c>
      <c r="H18" s="332" t="s">
        <v>239</v>
      </c>
      <c r="I18" s="332" t="s">
        <v>232</v>
      </c>
      <c r="J18" s="332" t="s">
        <v>240</v>
      </c>
      <c r="K18" s="332" t="s">
        <v>261</v>
      </c>
      <c r="M18" s="582" t="s">
        <v>262</v>
      </c>
      <c r="N18" s="582" t="s">
        <v>263</v>
      </c>
      <c r="O18" s="582" t="s">
        <v>264</v>
      </c>
      <c r="P18" s="583" t="s">
        <v>292</v>
      </c>
    </row>
    <row r="19" spans="1:16" s="2" customFormat="1" ht="39.950000000000003" customHeight="1" x14ac:dyDescent="0.2">
      <c r="A19" s="569">
        <v>1</v>
      </c>
      <c r="B19" s="570" t="s">
        <v>380</v>
      </c>
      <c r="C19" s="380">
        <v>1</v>
      </c>
      <c r="D19" s="380">
        <v>120</v>
      </c>
      <c r="E19" s="635"/>
      <c r="F19" s="441">
        <f>ROUND((((E19-(E19*F$15))/D19)*C19),2)</f>
        <v>0</v>
      </c>
      <c r="G19" s="441">
        <f>ROUND(((E19*C19*$G$15)),2)</f>
        <v>0</v>
      </c>
      <c r="H19" s="441">
        <f>F19+G19</f>
        <v>0</v>
      </c>
      <c r="I19" s="441">
        <f>H19*$I$15</f>
        <v>0</v>
      </c>
      <c r="J19" s="441">
        <f>ROUND(H19+I19,2)</f>
        <v>0</v>
      </c>
      <c r="K19" s="335">
        <f>ROUND(J19/$K$15,2)</f>
        <v>0</v>
      </c>
      <c r="L19" s="413"/>
      <c r="M19" s="530">
        <v>258.25</v>
      </c>
      <c r="N19" s="530">
        <v>249.9</v>
      </c>
      <c r="O19" s="530">
        <v>288.77999999999997</v>
      </c>
      <c r="P19" s="528" t="s">
        <v>377</v>
      </c>
    </row>
    <row r="20" spans="1:16" s="2" customFormat="1" ht="30" customHeight="1" x14ac:dyDescent="0.2">
      <c r="A20" s="571">
        <v>2</v>
      </c>
      <c r="B20" s="572" t="s">
        <v>373</v>
      </c>
      <c r="C20" s="380">
        <v>1</v>
      </c>
      <c r="D20" s="380">
        <v>60</v>
      </c>
      <c r="E20" s="635"/>
      <c r="F20" s="441">
        <f>ROUND((((E20-(E20*F$15))/D20)*C20),2)</f>
        <v>0</v>
      </c>
      <c r="G20" s="441">
        <f>ROUND(((E20*C20*$G$15)),2)</f>
        <v>0</v>
      </c>
      <c r="H20" s="441">
        <f>F20+G20</f>
        <v>0</v>
      </c>
      <c r="I20" s="441">
        <f>H20*$I$15</f>
        <v>0</v>
      </c>
      <c r="J20" s="441">
        <f>ROUND(H20+I20,2)</f>
        <v>0</v>
      </c>
      <c r="K20" s="335">
        <f>ROUND(J20/$K$15,2)</f>
        <v>0</v>
      </c>
      <c r="M20" s="530">
        <v>59.99</v>
      </c>
      <c r="N20" s="530">
        <v>85.6</v>
      </c>
      <c r="O20" s="530">
        <v>59.9</v>
      </c>
      <c r="P20" s="528" t="s">
        <v>376</v>
      </c>
    </row>
    <row r="21" spans="1:16" s="2" customFormat="1" ht="30" customHeight="1" x14ac:dyDescent="0.2">
      <c r="A21" s="573">
        <v>3</v>
      </c>
      <c r="B21" s="574" t="s">
        <v>379</v>
      </c>
      <c r="C21" s="380">
        <v>20</v>
      </c>
      <c r="D21" s="380">
        <v>60</v>
      </c>
      <c r="E21" s="635"/>
      <c r="F21" s="441">
        <f>ROUND((((E21-(E21*F$15))/D21)*C21),2)</f>
        <v>0</v>
      </c>
      <c r="G21" s="441">
        <f>ROUND(((E21*C21*$G$15)),2)</f>
        <v>0</v>
      </c>
      <c r="H21" s="441">
        <f>F21+G21</f>
        <v>0</v>
      </c>
      <c r="I21" s="441">
        <f>H21*$I$15</f>
        <v>0</v>
      </c>
      <c r="J21" s="441">
        <f>ROUND(H21+I21,2)</f>
        <v>0</v>
      </c>
      <c r="K21" s="335">
        <f>ROUND(J21/$K$15,2)</f>
        <v>0</v>
      </c>
      <c r="M21" s="530">
        <v>1.39</v>
      </c>
      <c r="N21" s="530">
        <f>3.15/2</f>
        <v>1.575</v>
      </c>
      <c r="O21" s="530">
        <v>2.4</v>
      </c>
      <c r="P21" s="528" t="s">
        <v>378</v>
      </c>
    </row>
    <row r="22" spans="1:16" s="2" customFormat="1" ht="54.95" customHeight="1" x14ac:dyDescent="0.2">
      <c r="A22" s="566">
        <v>4</v>
      </c>
      <c r="B22" s="575" t="s">
        <v>374</v>
      </c>
      <c r="C22" s="380">
        <v>1</v>
      </c>
      <c r="D22" s="380">
        <v>120</v>
      </c>
      <c r="E22" s="635"/>
      <c r="F22" s="441">
        <f t="shared" ref="F22" si="0">ROUND((((E22-(E22*F$15))/D22)*C22),2)</f>
        <v>0</v>
      </c>
      <c r="G22" s="441">
        <f t="shared" ref="G22" si="1">ROUND(((E22*C22*$G$15)),2)</f>
        <v>0</v>
      </c>
      <c r="H22" s="441">
        <f t="shared" ref="H22" si="2">F22+G22</f>
        <v>0</v>
      </c>
      <c r="I22" s="441">
        <f t="shared" ref="I22" si="3">H22*$I$15</f>
        <v>0</v>
      </c>
      <c r="J22" s="441">
        <f t="shared" ref="J22" si="4">ROUND(H22+I22,2)</f>
        <v>0</v>
      </c>
      <c r="K22" s="335">
        <f t="shared" ref="K22:K32" si="5">ROUND(J22/$K$15,2)</f>
        <v>0</v>
      </c>
      <c r="M22" s="530">
        <v>329.9</v>
      </c>
      <c r="N22" s="530">
        <v>279.89999999999998</v>
      </c>
      <c r="O22" s="530">
        <v>417.9</v>
      </c>
      <c r="P22" s="528" t="s">
        <v>375</v>
      </c>
    </row>
    <row r="23" spans="1:16" s="2" customFormat="1" ht="30" customHeight="1" x14ac:dyDescent="0.2">
      <c r="A23" s="569">
        <v>5</v>
      </c>
      <c r="B23" s="570" t="s">
        <v>389</v>
      </c>
      <c r="C23" s="380">
        <v>1</v>
      </c>
      <c r="D23" s="380">
        <v>60</v>
      </c>
      <c r="E23" s="635"/>
      <c r="F23" s="441">
        <f t="shared" ref="F23" si="6">ROUND((((E23-(E23*F$15))/D23)*C23),2)</f>
        <v>0</v>
      </c>
      <c r="G23" s="441">
        <f t="shared" ref="G23" si="7">ROUND(((E23*C23*$G$15)),2)</f>
        <v>0</v>
      </c>
      <c r="H23" s="441">
        <f t="shared" ref="H23" si="8">F23+G23</f>
        <v>0</v>
      </c>
      <c r="I23" s="441">
        <f t="shared" ref="I23" si="9">H23*$I$15</f>
        <v>0</v>
      </c>
      <c r="J23" s="441">
        <f t="shared" ref="J23" si="10">ROUND(H23+I23,2)</f>
        <v>0</v>
      </c>
      <c r="K23" s="335">
        <f t="shared" ref="K23" si="11">ROUND(J23/$K$15,2)</f>
        <v>0</v>
      </c>
      <c r="M23" s="530">
        <v>48.81</v>
      </c>
      <c r="N23" s="530">
        <v>29.89</v>
      </c>
      <c r="O23" s="530">
        <v>79.900000000000006</v>
      </c>
      <c r="P23" s="528" t="s">
        <v>388</v>
      </c>
    </row>
    <row r="24" spans="1:16" s="2" customFormat="1" ht="39.950000000000003" customHeight="1" x14ac:dyDescent="0.2">
      <c r="A24" s="569">
        <v>6</v>
      </c>
      <c r="B24" s="570" t="s">
        <v>390</v>
      </c>
      <c r="C24" s="380">
        <v>1</v>
      </c>
      <c r="D24" s="380">
        <v>120</v>
      </c>
      <c r="E24" s="635"/>
      <c r="F24" s="441">
        <f>ROUND((((E24-(E24*F$15))/D24)*C24),2)</f>
        <v>0</v>
      </c>
      <c r="G24" s="441">
        <f>ROUND(((E24*C24*$G$15)),2)</f>
        <v>0</v>
      </c>
      <c r="H24" s="441">
        <f>F24+G24</f>
        <v>0</v>
      </c>
      <c r="I24" s="441">
        <f>H24*$I$15</f>
        <v>0</v>
      </c>
      <c r="J24" s="441">
        <f>ROUND(H24+I24,2)</f>
        <v>0</v>
      </c>
      <c r="K24" s="335">
        <f t="shared" si="5"/>
        <v>0</v>
      </c>
      <c r="L24" s="413"/>
      <c r="M24" s="530">
        <v>341.9</v>
      </c>
      <c r="N24" s="530">
        <v>369</v>
      </c>
      <c r="O24" s="530">
        <v>413.22</v>
      </c>
      <c r="P24" s="528" t="s">
        <v>391</v>
      </c>
    </row>
    <row r="25" spans="1:16" s="2" customFormat="1" ht="30" customHeight="1" x14ac:dyDescent="0.2">
      <c r="A25" s="569">
        <v>7</v>
      </c>
      <c r="B25" s="570" t="s">
        <v>400</v>
      </c>
      <c r="C25" s="380">
        <v>1</v>
      </c>
      <c r="D25" s="380">
        <v>60</v>
      </c>
      <c r="E25" s="635"/>
      <c r="F25" s="441">
        <f t="shared" ref="F25:F26" si="12">ROUND((((E25-(E25*F$15))/D25)*C25),2)</f>
        <v>0</v>
      </c>
      <c r="G25" s="441">
        <f t="shared" ref="G25:G26" si="13">ROUND(((E25*C25*$G$15)),2)</f>
        <v>0</v>
      </c>
      <c r="H25" s="441">
        <f t="shared" ref="H25:H26" si="14">F25+G25</f>
        <v>0</v>
      </c>
      <c r="I25" s="441">
        <f t="shared" ref="I25:I26" si="15">H25*$I$15</f>
        <v>0</v>
      </c>
      <c r="J25" s="441">
        <f t="shared" ref="J25:J26" si="16">ROUND(H25+I25,2)</f>
        <v>0</v>
      </c>
      <c r="K25" s="335">
        <f t="shared" ref="K25:K26" si="17">ROUND(J25/$K$15,2)</f>
        <v>0</v>
      </c>
      <c r="L25" s="413"/>
      <c r="M25" s="530">
        <v>15.29</v>
      </c>
      <c r="N25" s="530">
        <v>19.489999999999998</v>
      </c>
      <c r="O25" s="530">
        <v>14.27</v>
      </c>
      <c r="P25" s="528" t="s">
        <v>399</v>
      </c>
    </row>
    <row r="26" spans="1:16" s="2" customFormat="1" ht="30" customHeight="1" x14ac:dyDescent="0.2">
      <c r="A26" s="569">
        <v>8</v>
      </c>
      <c r="B26" s="570" t="s">
        <v>395</v>
      </c>
      <c r="C26" s="380">
        <v>1</v>
      </c>
      <c r="D26" s="380">
        <v>60</v>
      </c>
      <c r="E26" s="635"/>
      <c r="F26" s="441">
        <f t="shared" si="12"/>
        <v>0</v>
      </c>
      <c r="G26" s="441">
        <f t="shared" si="13"/>
        <v>0</v>
      </c>
      <c r="H26" s="441">
        <f t="shared" si="14"/>
        <v>0</v>
      </c>
      <c r="I26" s="441">
        <f t="shared" si="15"/>
        <v>0</v>
      </c>
      <c r="J26" s="441">
        <f t="shared" si="16"/>
        <v>0</v>
      </c>
      <c r="K26" s="335">
        <f t="shared" si="17"/>
        <v>0</v>
      </c>
      <c r="L26" s="413"/>
      <c r="M26" s="530">
        <v>24.78</v>
      </c>
      <c r="N26" s="530">
        <v>25.89</v>
      </c>
      <c r="O26" s="530"/>
      <c r="P26" s="528" t="s">
        <v>396</v>
      </c>
    </row>
    <row r="27" spans="1:16" s="2" customFormat="1" ht="30" customHeight="1" x14ac:dyDescent="0.2">
      <c r="A27" s="576">
        <v>9</v>
      </c>
      <c r="B27" s="577" t="s">
        <v>397</v>
      </c>
      <c r="C27" s="380">
        <v>1</v>
      </c>
      <c r="D27" s="380">
        <v>60</v>
      </c>
      <c r="E27" s="635"/>
      <c r="F27" s="441">
        <f t="shared" ref="F27:F28" si="18">ROUND((((E27-(E27*F$15))/D27)*C27),2)</f>
        <v>0</v>
      </c>
      <c r="G27" s="441">
        <f t="shared" ref="G27:G28" si="19">ROUND(((E27*C27*$G$15)),2)</f>
        <v>0</v>
      </c>
      <c r="H27" s="441">
        <f t="shared" ref="H27:H28" si="20">F27+G27</f>
        <v>0</v>
      </c>
      <c r="I27" s="441">
        <f t="shared" ref="I27:I28" si="21">H27*$I$15</f>
        <v>0</v>
      </c>
      <c r="J27" s="441">
        <f t="shared" ref="J27:J28" si="22">ROUND(H27+I27,2)</f>
        <v>0</v>
      </c>
      <c r="K27" s="335">
        <f t="shared" si="5"/>
        <v>0</v>
      </c>
      <c r="M27" s="530">
        <v>152.19</v>
      </c>
      <c r="N27" s="530">
        <v>39</v>
      </c>
      <c r="O27" s="530"/>
      <c r="P27" s="528" t="s">
        <v>418</v>
      </c>
    </row>
    <row r="28" spans="1:16" s="2" customFormat="1" ht="30" customHeight="1" x14ac:dyDescent="0.2">
      <c r="A28" s="576">
        <v>10</v>
      </c>
      <c r="B28" s="577" t="s">
        <v>398</v>
      </c>
      <c r="C28" s="380">
        <v>1</v>
      </c>
      <c r="D28" s="380">
        <v>60</v>
      </c>
      <c r="E28" s="635"/>
      <c r="F28" s="441">
        <f t="shared" si="18"/>
        <v>0</v>
      </c>
      <c r="G28" s="441">
        <f t="shared" si="19"/>
        <v>0</v>
      </c>
      <c r="H28" s="441">
        <f t="shared" si="20"/>
        <v>0</v>
      </c>
      <c r="I28" s="441">
        <f t="shared" si="21"/>
        <v>0</v>
      </c>
      <c r="J28" s="441">
        <f t="shared" si="22"/>
        <v>0</v>
      </c>
      <c r="K28" s="335">
        <f t="shared" si="5"/>
        <v>0</v>
      </c>
      <c r="M28" s="530">
        <v>32.49</v>
      </c>
      <c r="N28" s="530">
        <v>26.29</v>
      </c>
      <c r="O28" s="530">
        <v>32.49</v>
      </c>
      <c r="P28" s="528" t="s">
        <v>411</v>
      </c>
    </row>
    <row r="29" spans="1:16" s="2" customFormat="1" ht="30" customHeight="1" x14ac:dyDescent="0.2">
      <c r="A29" s="569">
        <v>11</v>
      </c>
      <c r="B29" s="570" t="s">
        <v>401</v>
      </c>
      <c r="C29" s="380">
        <v>1</v>
      </c>
      <c r="D29" s="380">
        <v>60</v>
      </c>
      <c r="E29" s="635"/>
      <c r="F29" s="441">
        <f>ROUND((((E29-(E29*F$15))/D29)*C29),2)</f>
        <v>0</v>
      </c>
      <c r="G29" s="441">
        <f>ROUND(((E29*C29*$G$15)),2)</f>
        <v>0</v>
      </c>
      <c r="H29" s="441">
        <f>F29+G29</f>
        <v>0</v>
      </c>
      <c r="I29" s="441">
        <f>H29*$I$15</f>
        <v>0</v>
      </c>
      <c r="J29" s="441">
        <f>ROUND(H29+I29,2)</f>
        <v>0</v>
      </c>
      <c r="K29" s="335">
        <f t="shared" si="5"/>
        <v>0</v>
      </c>
      <c r="L29" s="413"/>
      <c r="M29" s="530">
        <v>34.090000000000003</v>
      </c>
      <c r="N29" s="530">
        <v>27.35</v>
      </c>
      <c r="O29" s="530">
        <v>35.42</v>
      </c>
      <c r="P29" s="528" t="s">
        <v>412</v>
      </c>
    </row>
    <row r="30" spans="1:16" s="2" customFormat="1" ht="39.950000000000003" customHeight="1" x14ac:dyDescent="0.2">
      <c r="A30" s="576">
        <v>12</v>
      </c>
      <c r="B30" s="577" t="s">
        <v>406</v>
      </c>
      <c r="C30" s="380">
        <v>1</v>
      </c>
      <c r="D30" s="380">
        <v>60</v>
      </c>
      <c r="E30" s="635"/>
      <c r="F30" s="441">
        <f t="shared" ref="F30:F32" si="23">ROUND((((E30-(E30*F$15))/D30)*C30),2)</f>
        <v>0</v>
      </c>
      <c r="G30" s="441">
        <f t="shared" ref="G30:G32" si="24">ROUND(((E30*C30*$G$15)),2)</f>
        <v>0</v>
      </c>
      <c r="H30" s="441">
        <f t="shared" ref="H30:H32" si="25">F30+G30</f>
        <v>0</v>
      </c>
      <c r="I30" s="441">
        <f t="shared" ref="I30:I32" si="26">H30*$I$15</f>
        <v>0</v>
      </c>
      <c r="J30" s="441">
        <f t="shared" ref="J30:J32" si="27">ROUND(H30+I30,2)</f>
        <v>0</v>
      </c>
      <c r="K30" s="335">
        <f t="shared" si="5"/>
        <v>0</v>
      </c>
      <c r="M30" s="530">
        <v>50.93</v>
      </c>
      <c r="N30" s="530">
        <v>49.99</v>
      </c>
      <c r="O30" s="530"/>
      <c r="P30" s="528" t="s">
        <v>405</v>
      </c>
    </row>
    <row r="31" spans="1:16" s="2" customFormat="1" ht="30" customHeight="1" x14ac:dyDescent="0.2">
      <c r="A31" s="571">
        <v>13</v>
      </c>
      <c r="B31" s="572" t="s">
        <v>407</v>
      </c>
      <c r="C31" s="380">
        <v>1</v>
      </c>
      <c r="D31" s="380">
        <v>60</v>
      </c>
      <c r="E31" s="635"/>
      <c r="F31" s="441">
        <f t="shared" si="23"/>
        <v>0</v>
      </c>
      <c r="G31" s="441">
        <f t="shared" si="24"/>
        <v>0</v>
      </c>
      <c r="H31" s="441">
        <f t="shared" si="25"/>
        <v>0</v>
      </c>
      <c r="I31" s="441">
        <f t="shared" si="26"/>
        <v>0</v>
      </c>
      <c r="J31" s="441">
        <f t="shared" si="27"/>
        <v>0</v>
      </c>
      <c r="K31" s="335">
        <f t="shared" si="5"/>
        <v>0</v>
      </c>
      <c r="M31" s="530">
        <f>40.41+4.49</f>
        <v>44.9</v>
      </c>
      <c r="N31" s="530">
        <v>17.84</v>
      </c>
      <c r="O31" s="530">
        <f>13.58*5</f>
        <v>67.900000000000006</v>
      </c>
      <c r="P31" s="528" t="s">
        <v>408</v>
      </c>
    </row>
    <row r="32" spans="1:16" s="2" customFormat="1" ht="30" customHeight="1" x14ac:dyDescent="0.2">
      <c r="A32" s="576">
        <v>14</v>
      </c>
      <c r="B32" s="577" t="s">
        <v>409</v>
      </c>
      <c r="C32" s="380">
        <v>1</v>
      </c>
      <c r="D32" s="380">
        <v>60</v>
      </c>
      <c r="E32" s="635"/>
      <c r="F32" s="441">
        <f t="shared" si="23"/>
        <v>0</v>
      </c>
      <c r="G32" s="441">
        <f t="shared" si="24"/>
        <v>0</v>
      </c>
      <c r="H32" s="441">
        <f t="shared" si="25"/>
        <v>0</v>
      </c>
      <c r="I32" s="441">
        <f t="shared" si="26"/>
        <v>0</v>
      </c>
      <c r="J32" s="441">
        <f t="shared" si="27"/>
        <v>0</v>
      </c>
      <c r="K32" s="335">
        <f t="shared" si="5"/>
        <v>0</v>
      </c>
      <c r="M32" s="530">
        <f>18.83*2</f>
        <v>37.659999999999997</v>
      </c>
      <c r="N32" s="530">
        <v>30.19</v>
      </c>
      <c r="O32" s="530">
        <v>29.99</v>
      </c>
      <c r="P32" s="528" t="s">
        <v>410</v>
      </c>
    </row>
    <row r="33" spans="1:16" s="2" customFormat="1" ht="30" customHeight="1" x14ac:dyDescent="0.2">
      <c r="A33" s="578">
        <v>15</v>
      </c>
      <c r="B33" s="570" t="s">
        <v>404</v>
      </c>
      <c r="C33" s="380">
        <v>1</v>
      </c>
      <c r="D33" s="380">
        <v>60</v>
      </c>
      <c r="E33" s="635"/>
      <c r="F33" s="441">
        <f t="shared" ref="F33:F36" si="28">ROUND((((E33-(E33*F$15))/D33)*C33),2)</f>
        <v>0</v>
      </c>
      <c r="G33" s="441">
        <f t="shared" ref="G33:G36" si="29">ROUND(((E33*C33*$G$15)),2)</f>
        <v>0</v>
      </c>
      <c r="H33" s="441">
        <f t="shared" ref="H33:H36" si="30">F33+G33</f>
        <v>0</v>
      </c>
      <c r="I33" s="441">
        <f t="shared" ref="I33:I36" si="31">H33*$I$15</f>
        <v>0</v>
      </c>
      <c r="J33" s="441">
        <f t="shared" ref="J33:J36" si="32">ROUND(H33+I33,2)</f>
        <v>0</v>
      </c>
      <c r="K33" s="335">
        <f t="shared" ref="K33:K36" si="33">ROUND(J33/$K$15,2)</f>
        <v>0</v>
      </c>
      <c r="L33" s="413"/>
      <c r="M33" s="530">
        <v>15.9</v>
      </c>
      <c r="N33" s="530">
        <v>12.9</v>
      </c>
      <c r="O33" s="530">
        <v>21.39</v>
      </c>
      <c r="P33" s="529" t="s">
        <v>413</v>
      </c>
    </row>
    <row r="34" spans="1:16" s="2" customFormat="1" ht="30" customHeight="1" x14ac:dyDescent="0.2">
      <c r="A34" s="569">
        <v>16</v>
      </c>
      <c r="B34" s="570" t="s">
        <v>403</v>
      </c>
      <c r="C34" s="380">
        <v>3</v>
      </c>
      <c r="D34" s="380">
        <v>60</v>
      </c>
      <c r="E34" s="635"/>
      <c r="F34" s="441">
        <f t="shared" si="28"/>
        <v>0</v>
      </c>
      <c r="G34" s="441">
        <f t="shared" si="29"/>
        <v>0</v>
      </c>
      <c r="H34" s="441">
        <f t="shared" si="30"/>
        <v>0</v>
      </c>
      <c r="I34" s="441">
        <f t="shared" si="31"/>
        <v>0</v>
      </c>
      <c r="J34" s="441">
        <f t="shared" si="32"/>
        <v>0</v>
      </c>
      <c r="K34" s="335">
        <f t="shared" si="33"/>
        <v>0</v>
      </c>
      <c r="L34" s="413"/>
      <c r="M34" s="530">
        <v>31.99</v>
      </c>
      <c r="N34" s="530">
        <v>66.56</v>
      </c>
      <c r="O34" s="530">
        <v>58.48</v>
      </c>
      <c r="P34" s="529" t="s">
        <v>415</v>
      </c>
    </row>
    <row r="35" spans="1:16" s="2" customFormat="1" ht="30" customHeight="1" x14ac:dyDescent="0.2">
      <c r="A35" s="569">
        <v>17</v>
      </c>
      <c r="B35" s="579" t="s">
        <v>402</v>
      </c>
      <c r="C35" s="541">
        <v>1</v>
      </c>
      <c r="D35" s="541">
        <v>60</v>
      </c>
      <c r="E35" s="635"/>
      <c r="F35" s="441">
        <f t="shared" si="28"/>
        <v>0</v>
      </c>
      <c r="G35" s="441">
        <f t="shared" si="29"/>
        <v>0</v>
      </c>
      <c r="H35" s="441">
        <f t="shared" si="30"/>
        <v>0</v>
      </c>
      <c r="I35" s="441">
        <f t="shared" si="31"/>
        <v>0</v>
      </c>
      <c r="J35" s="441">
        <f t="shared" si="32"/>
        <v>0</v>
      </c>
      <c r="K35" s="335">
        <f t="shared" si="33"/>
        <v>0</v>
      </c>
      <c r="L35" s="413"/>
      <c r="M35" s="530">
        <v>45.29</v>
      </c>
      <c r="N35" s="530">
        <v>48.54</v>
      </c>
      <c r="O35" s="530">
        <v>54.06</v>
      </c>
      <c r="P35" s="529" t="s">
        <v>414</v>
      </c>
    </row>
    <row r="36" spans="1:16" s="2" customFormat="1" ht="30" customHeight="1" x14ac:dyDescent="0.2">
      <c r="A36" s="580">
        <v>18</v>
      </c>
      <c r="B36" s="581" t="s">
        <v>416</v>
      </c>
      <c r="C36" s="380">
        <v>2</v>
      </c>
      <c r="D36" s="380">
        <v>60</v>
      </c>
      <c r="E36" s="635"/>
      <c r="F36" s="441">
        <f t="shared" si="28"/>
        <v>0</v>
      </c>
      <c r="G36" s="441">
        <f t="shared" si="29"/>
        <v>0</v>
      </c>
      <c r="H36" s="441">
        <f t="shared" si="30"/>
        <v>0</v>
      </c>
      <c r="I36" s="441">
        <f t="shared" si="31"/>
        <v>0</v>
      </c>
      <c r="J36" s="441">
        <f t="shared" si="32"/>
        <v>0</v>
      </c>
      <c r="K36" s="335">
        <f t="shared" si="33"/>
        <v>0</v>
      </c>
      <c r="M36" s="530">
        <v>199</v>
      </c>
      <c r="N36" s="530">
        <v>155.44</v>
      </c>
      <c r="O36" s="530">
        <v>178.77</v>
      </c>
      <c r="P36" s="529" t="s">
        <v>417</v>
      </c>
    </row>
    <row r="37" spans="1:16" s="2" customFormat="1" ht="30" customHeight="1" x14ac:dyDescent="0.2">
      <c r="A37" s="569">
        <v>19</v>
      </c>
      <c r="B37" s="636" t="s">
        <v>432</v>
      </c>
      <c r="C37" s="637"/>
      <c r="D37" s="637"/>
      <c r="E37" s="635"/>
      <c r="F37" s="441">
        <f>IFERROR(ROUND((((E37-(E37*F$15))/D37)*C37),2),0)</f>
        <v>0</v>
      </c>
      <c r="G37" s="441">
        <f t="shared" ref="G37:G41" si="34">ROUND(((E37*C37*$G$15)),2)</f>
        <v>0</v>
      </c>
      <c r="H37" s="441">
        <f t="shared" ref="H37:H41" si="35">F37+G37</f>
        <v>0</v>
      </c>
      <c r="I37" s="441">
        <f t="shared" ref="I37:I41" si="36">H37*$I$15</f>
        <v>0</v>
      </c>
      <c r="J37" s="441">
        <f t="shared" ref="J37:J41" si="37">ROUND(H37+I37,2)</f>
        <v>0</v>
      </c>
      <c r="K37" s="335">
        <f t="shared" ref="K37:K41" si="38">ROUND(J37/$K$15,2)</f>
        <v>0</v>
      </c>
      <c r="P37" s="442"/>
    </row>
    <row r="38" spans="1:16" s="2" customFormat="1" ht="30" customHeight="1" x14ac:dyDescent="0.2">
      <c r="A38" s="576">
        <v>20</v>
      </c>
      <c r="B38" s="636" t="s">
        <v>432</v>
      </c>
      <c r="C38" s="637"/>
      <c r="D38" s="637"/>
      <c r="E38" s="635"/>
      <c r="F38" s="441">
        <f t="shared" ref="F38:F41" si="39">IFERROR(ROUND((((E38-(E38*F$15))/D38)*C38),2),0)</f>
        <v>0</v>
      </c>
      <c r="G38" s="441">
        <f t="shared" si="34"/>
        <v>0</v>
      </c>
      <c r="H38" s="441">
        <f t="shared" si="35"/>
        <v>0</v>
      </c>
      <c r="I38" s="441">
        <f t="shared" si="36"/>
        <v>0</v>
      </c>
      <c r="J38" s="441">
        <f t="shared" si="37"/>
        <v>0</v>
      </c>
      <c r="K38" s="335">
        <f t="shared" si="38"/>
        <v>0</v>
      </c>
    </row>
    <row r="39" spans="1:16" s="2" customFormat="1" ht="30" customHeight="1" x14ac:dyDescent="0.2">
      <c r="A39" s="569">
        <v>21</v>
      </c>
      <c r="B39" s="636" t="s">
        <v>432</v>
      </c>
      <c r="C39" s="637"/>
      <c r="D39" s="637"/>
      <c r="E39" s="635"/>
      <c r="F39" s="441">
        <f t="shared" si="39"/>
        <v>0</v>
      </c>
      <c r="G39" s="441">
        <f t="shared" si="34"/>
        <v>0</v>
      </c>
      <c r="H39" s="441">
        <f t="shared" si="35"/>
        <v>0</v>
      </c>
      <c r="I39" s="441">
        <f t="shared" si="36"/>
        <v>0</v>
      </c>
      <c r="J39" s="441">
        <f t="shared" si="37"/>
        <v>0</v>
      </c>
      <c r="K39" s="335">
        <f t="shared" si="38"/>
        <v>0</v>
      </c>
    </row>
    <row r="40" spans="1:16" s="2" customFormat="1" ht="30" customHeight="1" x14ac:dyDescent="0.2">
      <c r="A40" s="576">
        <v>22</v>
      </c>
      <c r="B40" s="636" t="s">
        <v>432</v>
      </c>
      <c r="C40" s="637"/>
      <c r="D40" s="637"/>
      <c r="E40" s="635"/>
      <c r="F40" s="441">
        <f t="shared" si="39"/>
        <v>0</v>
      </c>
      <c r="G40" s="441">
        <f t="shared" si="34"/>
        <v>0</v>
      </c>
      <c r="H40" s="441">
        <f t="shared" si="35"/>
        <v>0</v>
      </c>
      <c r="I40" s="441">
        <f t="shared" si="36"/>
        <v>0</v>
      </c>
      <c r="J40" s="441">
        <f t="shared" si="37"/>
        <v>0</v>
      </c>
      <c r="K40" s="335">
        <f t="shared" si="38"/>
        <v>0</v>
      </c>
    </row>
    <row r="41" spans="1:16" s="2" customFormat="1" ht="30" customHeight="1" x14ac:dyDescent="0.2">
      <c r="A41" s="569">
        <v>23</v>
      </c>
      <c r="B41" s="636" t="s">
        <v>432</v>
      </c>
      <c r="C41" s="637"/>
      <c r="D41" s="637"/>
      <c r="E41" s="635"/>
      <c r="F41" s="441">
        <f t="shared" si="39"/>
        <v>0</v>
      </c>
      <c r="G41" s="441">
        <f t="shared" si="34"/>
        <v>0</v>
      </c>
      <c r="H41" s="441">
        <f t="shared" si="35"/>
        <v>0</v>
      </c>
      <c r="I41" s="441">
        <f t="shared" si="36"/>
        <v>0</v>
      </c>
      <c r="J41" s="441">
        <f t="shared" si="37"/>
        <v>0</v>
      </c>
      <c r="K41" s="335">
        <f t="shared" si="38"/>
        <v>0</v>
      </c>
    </row>
    <row r="42" spans="1:16" x14ac:dyDescent="0.2">
      <c r="A42" s="359"/>
      <c r="B42" s="359"/>
      <c r="C42" s="359"/>
      <c r="D42" s="360"/>
      <c r="E42" s="360"/>
      <c r="F42" s="361"/>
      <c r="G42" s="361"/>
      <c r="H42" s="361"/>
      <c r="I42" s="361"/>
      <c r="J42" s="361"/>
    </row>
    <row r="43" spans="1:16" s="2" customFormat="1" ht="18" customHeight="1" thickBot="1" x14ac:dyDescent="0.25">
      <c r="A43" s="339"/>
      <c r="B43" s="339"/>
      <c r="C43" s="340"/>
      <c r="D43" s="340"/>
      <c r="E43" s="605"/>
      <c r="F43" s="605"/>
      <c r="G43" s="605"/>
      <c r="H43" s="341"/>
      <c r="I43" s="341"/>
      <c r="J43" s="341"/>
      <c r="K43" s="342"/>
      <c r="L43" s="55"/>
      <c r="M43" s="1"/>
      <c r="N43" s="1"/>
      <c r="O43" s="1"/>
    </row>
    <row r="44" spans="1:16" s="2" customFormat="1" ht="20.100000000000001" customHeight="1" thickBot="1" x14ac:dyDescent="0.25">
      <c r="A44" s="339"/>
      <c r="B44" s="339"/>
      <c r="C44" s="900" t="s">
        <v>252</v>
      </c>
      <c r="D44" s="900"/>
      <c r="E44" s="900"/>
      <c r="F44" s="900"/>
      <c r="G44" s="900"/>
      <c r="H44" s="900"/>
      <c r="I44" s="900"/>
      <c r="J44" s="901"/>
      <c r="K44" s="343">
        <f>SUM(K19:K43)</f>
        <v>0</v>
      </c>
      <c r="L44" s="55"/>
      <c r="M44" s="1"/>
      <c r="N44" s="1"/>
      <c r="O44" s="1"/>
    </row>
    <row r="45" spans="1:16" x14ac:dyDescent="0.2">
      <c r="A45" s="359"/>
      <c r="B45" s="359"/>
      <c r="C45" s="359"/>
      <c r="D45" s="360"/>
      <c r="E45" s="360"/>
      <c r="F45" s="360"/>
      <c r="G45" s="360"/>
      <c r="H45" s="360"/>
      <c r="I45" s="360"/>
      <c r="J45" s="361"/>
    </row>
    <row r="46" spans="1:16" ht="16.5" thickBot="1" x14ac:dyDescent="0.3">
      <c r="A46" s="902" t="s">
        <v>241</v>
      </c>
      <c r="B46" s="902"/>
      <c r="C46" s="902"/>
      <c r="D46" s="902"/>
      <c r="E46" s="902"/>
      <c r="F46" s="902"/>
      <c r="G46" s="902"/>
      <c r="H46" s="902"/>
      <c r="I46" s="902"/>
      <c r="J46" s="902"/>
      <c r="K46" s="902"/>
    </row>
    <row r="47" spans="1:16" ht="16.5" thickTop="1" x14ac:dyDescent="0.25">
      <c r="A47" s="344"/>
      <c r="B47" s="344"/>
      <c r="C47" s="344"/>
      <c r="D47" s="344"/>
      <c r="E47" s="344"/>
      <c r="F47" s="73"/>
      <c r="G47" s="73"/>
      <c r="H47" s="73"/>
      <c r="I47" s="73"/>
      <c r="J47" s="73"/>
    </row>
    <row r="48" spans="1:16" ht="30" customHeight="1" x14ac:dyDescent="0.2">
      <c r="A48" s="347" t="s">
        <v>242</v>
      </c>
      <c r="B48" s="895" t="s">
        <v>279</v>
      </c>
      <c r="C48" s="895"/>
      <c r="D48" s="895"/>
      <c r="E48" s="895"/>
      <c r="F48" s="895"/>
      <c r="G48" s="895"/>
      <c r="H48" s="895"/>
      <c r="I48" s="895"/>
      <c r="J48" s="895"/>
      <c r="K48" s="895"/>
    </row>
    <row r="49" spans="1:12" ht="39.950000000000003" customHeight="1" x14ac:dyDescent="0.2">
      <c r="A49" s="347" t="s">
        <v>243</v>
      </c>
      <c r="B49" s="895" t="s">
        <v>244</v>
      </c>
      <c r="C49" s="895"/>
      <c r="D49" s="895"/>
      <c r="E49" s="895"/>
      <c r="F49" s="895"/>
      <c r="G49" s="895"/>
      <c r="H49" s="895"/>
      <c r="I49" s="895"/>
      <c r="J49" s="895"/>
      <c r="K49" s="895"/>
      <c r="L49" s="345"/>
    </row>
    <row r="50" spans="1:12" ht="32.1" customHeight="1" x14ac:dyDescent="0.2">
      <c r="A50" s="347" t="s">
        <v>245</v>
      </c>
      <c r="B50" s="895" t="s">
        <v>435</v>
      </c>
      <c r="C50" s="895"/>
      <c r="D50" s="895"/>
      <c r="E50" s="895"/>
      <c r="F50" s="895"/>
      <c r="G50" s="895"/>
      <c r="H50" s="895"/>
      <c r="I50" s="895"/>
      <c r="J50" s="895"/>
      <c r="K50" s="895"/>
      <c r="L50" s="346"/>
    </row>
    <row r="51" spans="1:12" s="349" customFormat="1" ht="20.100000000000001" customHeight="1" x14ac:dyDescent="0.2">
      <c r="A51" s="347" t="s">
        <v>246</v>
      </c>
      <c r="B51" s="895" t="s">
        <v>247</v>
      </c>
      <c r="C51" s="895"/>
      <c r="D51" s="895"/>
      <c r="E51" s="895"/>
      <c r="F51" s="895"/>
      <c r="G51" s="895"/>
      <c r="H51" s="895"/>
      <c r="I51" s="895"/>
      <c r="J51" s="895"/>
      <c r="K51" s="895"/>
      <c r="L51" s="348"/>
    </row>
    <row r="52" spans="1:12" s="349" customFormat="1" ht="30" customHeight="1" x14ac:dyDescent="0.2">
      <c r="A52" s="347" t="s">
        <v>248</v>
      </c>
      <c r="B52" s="895" t="s">
        <v>249</v>
      </c>
      <c r="C52" s="895"/>
      <c r="D52" s="895"/>
      <c r="E52" s="895"/>
      <c r="F52" s="895"/>
      <c r="G52" s="895"/>
      <c r="H52" s="895"/>
      <c r="I52" s="895"/>
      <c r="J52" s="895"/>
      <c r="K52" s="895"/>
      <c r="L52" s="348"/>
    </row>
    <row r="53" spans="1:12" ht="30" customHeight="1" x14ac:dyDescent="0.2">
      <c r="A53" s="347" t="s">
        <v>250</v>
      </c>
      <c r="B53" s="896" t="s">
        <v>433</v>
      </c>
      <c r="C53" s="896"/>
      <c r="D53" s="896"/>
      <c r="E53" s="896"/>
      <c r="F53" s="896"/>
      <c r="G53" s="897" t="s">
        <v>251</v>
      </c>
      <c r="H53" s="898"/>
      <c r="I53" s="898"/>
      <c r="J53" s="898"/>
      <c r="K53" s="899"/>
      <c r="L53" s="83"/>
    </row>
    <row r="54" spans="1:12" x14ac:dyDescent="0.2">
      <c r="A54" s="351"/>
      <c r="B54" s="352"/>
      <c r="C54" s="352"/>
      <c r="D54" s="353"/>
      <c r="E54" s="352"/>
      <c r="F54" s="55"/>
      <c r="G54" s="55"/>
      <c r="H54" s="55"/>
      <c r="I54" s="55"/>
      <c r="J54" s="55"/>
    </row>
  </sheetData>
  <sheetProtection algorithmName="SHA-512" hashValue="okpB0Ozya3Ikua00kmFiKd4tWL4C1ZT+uCefslPZTichaZWkTGRGEpF6YLgQfDqANt1GhKRBVvybmquhWxoQ7Q==" saltValue="ZN+9fqAuRKxkTUKLoxK7mw==" spinCount="100000" sheet="1" objects="1" scenarios="1" selectLockedCells="1"/>
  <mergeCells count="18">
    <mergeCell ref="A12:H12"/>
    <mergeCell ref="C14:D14"/>
    <mergeCell ref="C15:D15"/>
    <mergeCell ref="A1:K1"/>
    <mergeCell ref="A2:K2"/>
    <mergeCell ref="A3:K3"/>
    <mergeCell ref="A6:K6"/>
    <mergeCell ref="A7:K7"/>
    <mergeCell ref="A9:K9"/>
    <mergeCell ref="B52:K52"/>
    <mergeCell ref="B53:F53"/>
    <mergeCell ref="G53:K53"/>
    <mergeCell ref="C44:J44"/>
    <mergeCell ref="A46:K46"/>
    <mergeCell ref="B48:K48"/>
    <mergeCell ref="B49:K49"/>
    <mergeCell ref="B50:K50"/>
    <mergeCell ref="B51:K51"/>
  </mergeCells>
  <printOptions horizontalCentered="1"/>
  <pageMargins left="0.51181102362204722" right="0.51181102362204722" top="0.78740157480314965" bottom="0.78740157480314965" header="0.31496062992125984" footer="0.31496062992125984"/>
  <pageSetup paperSize="9" scale="48" orientation="portrait" r:id="rId1"/>
  <headerFooter>
    <oddFooter>&amp;LSACCON/CPC/SECAD&amp;R&amp;A
&amp;P/&amp;N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R77"/>
  <sheetViews>
    <sheetView showGridLines="0" view="pageBreakPreview" zoomScale="80" zoomScaleNormal="100" zoomScaleSheetLayoutView="80" workbookViewId="0">
      <selection activeCell="F12" sqref="F12"/>
    </sheetView>
  </sheetViews>
  <sheetFormatPr defaultRowHeight="12.75" x14ac:dyDescent="0.2"/>
  <cols>
    <col min="1" max="1" width="6.7109375" style="406" customWidth="1"/>
    <col min="2" max="2" width="70.7109375" style="2" customWidth="1"/>
    <col min="3" max="10" width="15.7109375" style="2" customWidth="1"/>
    <col min="11" max="11" width="5.7109375" style="1" hidden="1" customWidth="1"/>
    <col min="12" max="14" width="10.7109375" style="260" hidden="1" customWidth="1"/>
    <col min="15" max="15" width="12.7109375" style="260" hidden="1" customWidth="1"/>
    <col min="16" max="16" width="51.7109375" style="545" hidden="1" customWidth="1"/>
    <col min="17" max="17" width="25.28515625" style="2" customWidth="1"/>
    <col min="18" max="18" width="11.42578125" style="2" bestFit="1" customWidth="1"/>
    <col min="19" max="253" width="9.140625" style="2"/>
    <col min="254" max="254" width="31.28515625" style="2" customWidth="1"/>
    <col min="255" max="255" width="18" style="2" customWidth="1"/>
    <col min="256" max="256" width="14" style="2" customWidth="1"/>
    <col min="257" max="260" width="12.42578125" style="2" customWidth="1"/>
    <col min="261" max="261" width="4.85546875" style="2" customWidth="1"/>
    <col min="262" max="265" width="12.7109375" style="2" customWidth="1"/>
    <col min="266" max="509" width="9.140625" style="2"/>
    <col min="510" max="510" width="31.28515625" style="2" customWidth="1"/>
    <col min="511" max="511" width="18" style="2" customWidth="1"/>
    <col min="512" max="512" width="14" style="2" customWidth="1"/>
    <col min="513" max="516" width="12.42578125" style="2" customWidth="1"/>
    <col min="517" max="517" width="4.85546875" style="2" customWidth="1"/>
    <col min="518" max="521" width="12.7109375" style="2" customWidth="1"/>
    <col min="522" max="765" width="9.140625" style="2"/>
    <col min="766" max="766" width="31.28515625" style="2" customWidth="1"/>
    <col min="767" max="767" width="18" style="2" customWidth="1"/>
    <col min="768" max="768" width="14" style="2" customWidth="1"/>
    <col min="769" max="772" width="12.42578125" style="2" customWidth="1"/>
    <col min="773" max="773" width="4.85546875" style="2" customWidth="1"/>
    <col min="774" max="777" width="12.7109375" style="2" customWidth="1"/>
    <col min="778" max="1021" width="9.140625" style="2"/>
    <col min="1022" max="1022" width="31.28515625" style="2" customWidth="1"/>
    <col min="1023" max="1023" width="18" style="2" customWidth="1"/>
    <col min="1024" max="1024" width="14" style="2" customWidth="1"/>
    <col min="1025" max="1028" width="12.42578125" style="2" customWidth="1"/>
    <col min="1029" max="1029" width="4.85546875" style="2" customWidth="1"/>
    <col min="1030" max="1033" width="12.7109375" style="2" customWidth="1"/>
    <col min="1034" max="1277" width="9.140625" style="2"/>
    <col min="1278" max="1278" width="31.28515625" style="2" customWidth="1"/>
    <col min="1279" max="1279" width="18" style="2" customWidth="1"/>
    <col min="1280" max="1280" width="14" style="2" customWidth="1"/>
    <col min="1281" max="1284" width="12.42578125" style="2" customWidth="1"/>
    <col min="1285" max="1285" width="4.85546875" style="2" customWidth="1"/>
    <col min="1286" max="1289" width="12.7109375" style="2" customWidth="1"/>
    <col min="1290" max="1533" width="9.140625" style="2"/>
    <col min="1534" max="1534" width="31.28515625" style="2" customWidth="1"/>
    <col min="1535" max="1535" width="18" style="2" customWidth="1"/>
    <col min="1536" max="1536" width="14" style="2" customWidth="1"/>
    <col min="1537" max="1540" width="12.42578125" style="2" customWidth="1"/>
    <col min="1541" max="1541" width="4.85546875" style="2" customWidth="1"/>
    <col min="1542" max="1545" width="12.7109375" style="2" customWidth="1"/>
    <col min="1546" max="1789" width="9.140625" style="2"/>
    <col min="1790" max="1790" width="31.28515625" style="2" customWidth="1"/>
    <col min="1791" max="1791" width="18" style="2" customWidth="1"/>
    <col min="1792" max="1792" width="14" style="2" customWidth="1"/>
    <col min="1793" max="1796" width="12.42578125" style="2" customWidth="1"/>
    <col min="1797" max="1797" width="4.85546875" style="2" customWidth="1"/>
    <col min="1798" max="1801" width="12.7109375" style="2" customWidth="1"/>
    <col min="1802" max="2045" width="9.140625" style="2"/>
    <col min="2046" max="2046" width="31.28515625" style="2" customWidth="1"/>
    <col min="2047" max="2047" width="18" style="2" customWidth="1"/>
    <col min="2048" max="2048" width="14" style="2" customWidth="1"/>
    <col min="2049" max="2052" width="12.42578125" style="2" customWidth="1"/>
    <col min="2053" max="2053" width="4.85546875" style="2" customWidth="1"/>
    <col min="2054" max="2057" width="12.7109375" style="2" customWidth="1"/>
    <col min="2058" max="2301" width="9.140625" style="2"/>
    <col min="2302" max="2302" width="31.28515625" style="2" customWidth="1"/>
    <col min="2303" max="2303" width="18" style="2" customWidth="1"/>
    <col min="2304" max="2304" width="14" style="2" customWidth="1"/>
    <col min="2305" max="2308" width="12.42578125" style="2" customWidth="1"/>
    <col min="2309" max="2309" width="4.85546875" style="2" customWidth="1"/>
    <col min="2310" max="2313" width="12.7109375" style="2" customWidth="1"/>
    <col min="2314" max="2557" width="9.140625" style="2"/>
    <col min="2558" max="2558" width="31.28515625" style="2" customWidth="1"/>
    <col min="2559" max="2559" width="18" style="2" customWidth="1"/>
    <col min="2560" max="2560" width="14" style="2" customWidth="1"/>
    <col min="2561" max="2564" width="12.42578125" style="2" customWidth="1"/>
    <col min="2565" max="2565" width="4.85546875" style="2" customWidth="1"/>
    <col min="2566" max="2569" width="12.7109375" style="2" customWidth="1"/>
    <col min="2570" max="2813" width="9.140625" style="2"/>
    <col min="2814" max="2814" width="31.28515625" style="2" customWidth="1"/>
    <col min="2815" max="2815" width="18" style="2" customWidth="1"/>
    <col min="2816" max="2816" width="14" style="2" customWidth="1"/>
    <col min="2817" max="2820" width="12.42578125" style="2" customWidth="1"/>
    <col min="2821" max="2821" width="4.85546875" style="2" customWidth="1"/>
    <col min="2822" max="2825" width="12.7109375" style="2" customWidth="1"/>
    <col min="2826" max="3069" width="9.140625" style="2"/>
    <col min="3070" max="3070" width="31.28515625" style="2" customWidth="1"/>
    <col min="3071" max="3071" width="18" style="2" customWidth="1"/>
    <col min="3072" max="3072" width="14" style="2" customWidth="1"/>
    <col min="3073" max="3076" width="12.42578125" style="2" customWidth="1"/>
    <col min="3077" max="3077" width="4.85546875" style="2" customWidth="1"/>
    <col min="3078" max="3081" width="12.7109375" style="2" customWidth="1"/>
    <col min="3082" max="3325" width="9.140625" style="2"/>
    <col min="3326" max="3326" width="31.28515625" style="2" customWidth="1"/>
    <col min="3327" max="3327" width="18" style="2" customWidth="1"/>
    <col min="3328" max="3328" width="14" style="2" customWidth="1"/>
    <col min="3329" max="3332" width="12.42578125" style="2" customWidth="1"/>
    <col min="3333" max="3333" width="4.85546875" style="2" customWidth="1"/>
    <col min="3334" max="3337" width="12.7109375" style="2" customWidth="1"/>
    <col min="3338" max="3581" width="9.140625" style="2"/>
    <col min="3582" max="3582" width="31.28515625" style="2" customWidth="1"/>
    <col min="3583" max="3583" width="18" style="2" customWidth="1"/>
    <col min="3584" max="3584" width="14" style="2" customWidth="1"/>
    <col min="3585" max="3588" width="12.42578125" style="2" customWidth="1"/>
    <col min="3589" max="3589" width="4.85546875" style="2" customWidth="1"/>
    <col min="3590" max="3593" width="12.7109375" style="2" customWidth="1"/>
    <col min="3594" max="3837" width="9.140625" style="2"/>
    <col min="3838" max="3838" width="31.28515625" style="2" customWidth="1"/>
    <col min="3839" max="3839" width="18" style="2" customWidth="1"/>
    <col min="3840" max="3840" width="14" style="2" customWidth="1"/>
    <col min="3841" max="3844" width="12.42578125" style="2" customWidth="1"/>
    <col min="3845" max="3845" width="4.85546875" style="2" customWidth="1"/>
    <col min="3846" max="3849" width="12.7109375" style="2" customWidth="1"/>
    <col min="3850" max="4093" width="9.140625" style="2"/>
    <col min="4094" max="4094" width="31.28515625" style="2" customWidth="1"/>
    <col min="4095" max="4095" width="18" style="2" customWidth="1"/>
    <col min="4096" max="4096" width="14" style="2" customWidth="1"/>
    <col min="4097" max="4100" width="12.42578125" style="2" customWidth="1"/>
    <col min="4101" max="4101" width="4.85546875" style="2" customWidth="1"/>
    <col min="4102" max="4105" width="12.7109375" style="2" customWidth="1"/>
    <col min="4106" max="4349" width="9.140625" style="2"/>
    <col min="4350" max="4350" width="31.28515625" style="2" customWidth="1"/>
    <col min="4351" max="4351" width="18" style="2" customWidth="1"/>
    <col min="4352" max="4352" width="14" style="2" customWidth="1"/>
    <col min="4353" max="4356" width="12.42578125" style="2" customWidth="1"/>
    <col min="4357" max="4357" width="4.85546875" style="2" customWidth="1"/>
    <col min="4358" max="4361" width="12.7109375" style="2" customWidth="1"/>
    <col min="4362" max="4605" width="9.140625" style="2"/>
    <col min="4606" max="4606" width="31.28515625" style="2" customWidth="1"/>
    <col min="4607" max="4607" width="18" style="2" customWidth="1"/>
    <col min="4608" max="4608" width="14" style="2" customWidth="1"/>
    <col min="4609" max="4612" width="12.42578125" style="2" customWidth="1"/>
    <col min="4613" max="4613" width="4.85546875" style="2" customWidth="1"/>
    <col min="4614" max="4617" width="12.7109375" style="2" customWidth="1"/>
    <col min="4618" max="4861" width="9.140625" style="2"/>
    <col min="4862" max="4862" width="31.28515625" style="2" customWidth="1"/>
    <col min="4863" max="4863" width="18" style="2" customWidth="1"/>
    <col min="4864" max="4864" width="14" style="2" customWidth="1"/>
    <col min="4865" max="4868" width="12.42578125" style="2" customWidth="1"/>
    <col min="4869" max="4869" width="4.85546875" style="2" customWidth="1"/>
    <col min="4870" max="4873" width="12.7109375" style="2" customWidth="1"/>
    <col min="4874" max="5117" width="9.140625" style="2"/>
    <col min="5118" max="5118" width="31.28515625" style="2" customWidth="1"/>
    <col min="5119" max="5119" width="18" style="2" customWidth="1"/>
    <col min="5120" max="5120" width="14" style="2" customWidth="1"/>
    <col min="5121" max="5124" width="12.42578125" style="2" customWidth="1"/>
    <col min="5125" max="5125" width="4.85546875" style="2" customWidth="1"/>
    <col min="5126" max="5129" width="12.7109375" style="2" customWidth="1"/>
    <col min="5130" max="5373" width="9.140625" style="2"/>
    <col min="5374" max="5374" width="31.28515625" style="2" customWidth="1"/>
    <col min="5375" max="5375" width="18" style="2" customWidth="1"/>
    <col min="5376" max="5376" width="14" style="2" customWidth="1"/>
    <col min="5377" max="5380" width="12.42578125" style="2" customWidth="1"/>
    <col min="5381" max="5381" width="4.85546875" style="2" customWidth="1"/>
    <col min="5382" max="5385" width="12.7109375" style="2" customWidth="1"/>
    <col min="5386" max="5629" width="9.140625" style="2"/>
    <col min="5630" max="5630" width="31.28515625" style="2" customWidth="1"/>
    <col min="5631" max="5631" width="18" style="2" customWidth="1"/>
    <col min="5632" max="5632" width="14" style="2" customWidth="1"/>
    <col min="5633" max="5636" width="12.42578125" style="2" customWidth="1"/>
    <col min="5637" max="5637" width="4.85546875" style="2" customWidth="1"/>
    <col min="5638" max="5641" width="12.7109375" style="2" customWidth="1"/>
    <col min="5642" max="5885" width="9.140625" style="2"/>
    <col min="5886" max="5886" width="31.28515625" style="2" customWidth="1"/>
    <col min="5887" max="5887" width="18" style="2" customWidth="1"/>
    <col min="5888" max="5888" width="14" style="2" customWidth="1"/>
    <col min="5889" max="5892" width="12.42578125" style="2" customWidth="1"/>
    <col min="5893" max="5893" width="4.85546875" style="2" customWidth="1"/>
    <col min="5894" max="5897" width="12.7109375" style="2" customWidth="1"/>
    <col min="5898" max="6141" width="9.140625" style="2"/>
    <col min="6142" max="6142" width="31.28515625" style="2" customWidth="1"/>
    <col min="6143" max="6143" width="18" style="2" customWidth="1"/>
    <col min="6144" max="6144" width="14" style="2" customWidth="1"/>
    <col min="6145" max="6148" width="12.42578125" style="2" customWidth="1"/>
    <col min="6149" max="6149" width="4.85546875" style="2" customWidth="1"/>
    <col min="6150" max="6153" width="12.7109375" style="2" customWidth="1"/>
    <col min="6154" max="6397" width="9.140625" style="2"/>
    <col min="6398" max="6398" width="31.28515625" style="2" customWidth="1"/>
    <col min="6399" max="6399" width="18" style="2" customWidth="1"/>
    <col min="6400" max="6400" width="14" style="2" customWidth="1"/>
    <col min="6401" max="6404" width="12.42578125" style="2" customWidth="1"/>
    <col min="6405" max="6405" width="4.85546875" style="2" customWidth="1"/>
    <col min="6406" max="6409" width="12.7109375" style="2" customWidth="1"/>
    <col min="6410" max="6653" width="9.140625" style="2"/>
    <col min="6654" max="6654" width="31.28515625" style="2" customWidth="1"/>
    <col min="6655" max="6655" width="18" style="2" customWidth="1"/>
    <col min="6656" max="6656" width="14" style="2" customWidth="1"/>
    <col min="6657" max="6660" width="12.42578125" style="2" customWidth="1"/>
    <col min="6661" max="6661" width="4.85546875" style="2" customWidth="1"/>
    <col min="6662" max="6665" width="12.7109375" style="2" customWidth="1"/>
    <col min="6666" max="6909" width="9.140625" style="2"/>
    <col min="6910" max="6910" width="31.28515625" style="2" customWidth="1"/>
    <col min="6911" max="6911" width="18" style="2" customWidth="1"/>
    <col min="6912" max="6912" width="14" style="2" customWidth="1"/>
    <col min="6913" max="6916" width="12.42578125" style="2" customWidth="1"/>
    <col min="6917" max="6917" width="4.85546875" style="2" customWidth="1"/>
    <col min="6918" max="6921" width="12.7109375" style="2" customWidth="1"/>
    <col min="6922" max="7165" width="9.140625" style="2"/>
    <col min="7166" max="7166" width="31.28515625" style="2" customWidth="1"/>
    <col min="7167" max="7167" width="18" style="2" customWidth="1"/>
    <col min="7168" max="7168" width="14" style="2" customWidth="1"/>
    <col min="7169" max="7172" width="12.42578125" style="2" customWidth="1"/>
    <col min="7173" max="7173" width="4.85546875" style="2" customWidth="1"/>
    <col min="7174" max="7177" width="12.7109375" style="2" customWidth="1"/>
    <col min="7178" max="7421" width="9.140625" style="2"/>
    <col min="7422" max="7422" width="31.28515625" style="2" customWidth="1"/>
    <col min="7423" max="7423" width="18" style="2" customWidth="1"/>
    <col min="7424" max="7424" width="14" style="2" customWidth="1"/>
    <col min="7425" max="7428" width="12.42578125" style="2" customWidth="1"/>
    <col min="7429" max="7429" width="4.85546875" style="2" customWidth="1"/>
    <col min="7430" max="7433" width="12.7109375" style="2" customWidth="1"/>
    <col min="7434" max="7677" width="9.140625" style="2"/>
    <col min="7678" max="7678" width="31.28515625" style="2" customWidth="1"/>
    <col min="7679" max="7679" width="18" style="2" customWidth="1"/>
    <col min="7680" max="7680" width="14" style="2" customWidth="1"/>
    <col min="7681" max="7684" width="12.42578125" style="2" customWidth="1"/>
    <col min="7685" max="7685" width="4.85546875" style="2" customWidth="1"/>
    <col min="7686" max="7689" width="12.7109375" style="2" customWidth="1"/>
    <col min="7690" max="7933" width="9.140625" style="2"/>
    <col min="7934" max="7934" width="31.28515625" style="2" customWidth="1"/>
    <col min="7935" max="7935" width="18" style="2" customWidth="1"/>
    <col min="7936" max="7936" width="14" style="2" customWidth="1"/>
    <col min="7937" max="7940" width="12.42578125" style="2" customWidth="1"/>
    <col min="7941" max="7941" width="4.85546875" style="2" customWidth="1"/>
    <col min="7942" max="7945" width="12.7109375" style="2" customWidth="1"/>
    <col min="7946" max="8189" width="9.140625" style="2"/>
    <col min="8190" max="8190" width="31.28515625" style="2" customWidth="1"/>
    <col min="8191" max="8191" width="18" style="2" customWidth="1"/>
    <col min="8192" max="8192" width="14" style="2" customWidth="1"/>
    <col min="8193" max="8196" width="12.42578125" style="2" customWidth="1"/>
    <col min="8197" max="8197" width="4.85546875" style="2" customWidth="1"/>
    <col min="8198" max="8201" width="12.7109375" style="2" customWidth="1"/>
    <col min="8202" max="8445" width="9.140625" style="2"/>
    <col min="8446" max="8446" width="31.28515625" style="2" customWidth="1"/>
    <col min="8447" max="8447" width="18" style="2" customWidth="1"/>
    <col min="8448" max="8448" width="14" style="2" customWidth="1"/>
    <col min="8449" max="8452" width="12.42578125" style="2" customWidth="1"/>
    <col min="8453" max="8453" width="4.85546875" style="2" customWidth="1"/>
    <col min="8454" max="8457" width="12.7109375" style="2" customWidth="1"/>
    <col min="8458" max="8701" width="9.140625" style="2"/>
    <col min="8702" max="8702" width="31.28515625" style="2" customWidth="1"/>
    <col min="8703" max="8703" width="18" style="2" customWidth="1"/>
    <col min="8704" max="8704" width="14" style="2" customWidth="1"/>
    <col min="8705" max="8708" width="12.42578125" style="2" customWidth="1"/>
    <col min="8709" max="8709" width="4.85546875" style="2" customWidth="1"/>
    <col min="8710" max="8713" width="12.7109375" style="2" customWidth="1"/>
    <col min="8714" max="8957" width="9.140625" style="2"/>
    <col min="8958" max="8958" width="31.28515625" style="2" customWidth="1"/>
    <col min="8959" max="8959" width="18" style="2" customWidth="1"/>
    <col min="8960" max="8960" width="14" style="2" customWidth="1"/>
    <col min="8961" max="8964" width="12.42578125" style="2" customWidth="1"/>
    <col min="8965" max="8965" width="4.85546875" style="2" customWidth="1"/>
    <col min="8966" max="8969" width="12.7109375" style="2" customWidth="1"/>
    <col min="8970" max="9213" width="9.140625" style="2"/>
    <col min="9214" max="9214" width="31.28515625" style="2" customWidth="1"/>
    <col min="9215" max="9215" width="18" style="2" customWidth="1"/>
    <col min="9216" max="9216" width="14" style="2" customWidth="1"/>
    <col min="9217" max="9220" width="12.42578125" style="2" customWidth="1"/>
    <col min="9221" max="9221" width="4.85546875" style="2" customWidth="1"/>
    <col min="9222" max="9225" width="12.7109375" style="2" customWidth="1"/>
    <col min="9226" max="9469" width="9.140625" style="2"/>
    <col min="9470" max="9470" width="31.28515625" style="2" customWidth="1"/>
    <col min="9471" max="9471" width="18" style="2" customWidth="1"/>
    <col min="9472" max="9472" width="14" style="2" customWidth="1"/>
    <col min="9473" max="9476" width="12.42578125" style="2" customWidth="1"/>
    <col min="9477" max="9477" width="4.85546875" style="2" customWidth="1"/>
    <col min="9478" max="9481" width="12.7109375" style="2" customWidth="1"/>
    <col min="9482" max="9725" width="9.140625" style="2"/>
    <col min="9726" max="9726" width="31.28515625" style="2" customWidth="1"/>
    <col min="9727" max="9727" width="18" style="2" customWidth="1"/>
    <col min="9728" max="9728" width="14" style="2" customWidth="1"/>
    <col min="9729" max="9732" width="12.42578125" style="2" customWidth="1"/>
    <col min="9733" max="9733" width="4.85546875" style="2" customWidth="1"/>
    <col min="9734" max="9737" width="12.7109375" style="2" customWidth="1"/>
    <col min="9738" max="9981" width="9.140625" style="2"/>
    <col min="9982" max="9982" width="31.28515625" style="2" customWidth="1"/>
    <col min="9983" max="9983" width="18" style="2" customWidth="1"/>
    <col min="9984" max="9984" width="14" style="2" customWidth="1"/>
    <col min="9985" max="9988" width="12.42578125" style="2" customWidth="1"/>
    <col min="9989" max="9989" width="4.85546875" style="2" customWidth="1"/>
    <col min="9990" max="9993" width="12.7109375" style="2" customWidth="1"/>
    <col min="9994" max="10237" width="9.140625" style="2"/>
    <col min="10238" max="10238" width="31.28515625" style="2" customWidth="1"/>
    <col min="10239" max="10239" width="18" style="2" customWidth="1"/>
    <col min="10240" max="10240" width="14" style="2" customWidth="1"/>
    <col min="10241" max="10244" width="12.42578125" style="2" customWidth="1"/>
    <col min="10245" max="10245" width="4.85546875" style="2" customWidth="1"/>
    <col min="10246" max="10249" width="12.7109375" style="2" customWidth="1"/>
    <col min="10250" max="10493" width="9.140625" style="2"/>
    <col min="10494" max="10494" width="31.28515625" style="2" customWidth="1"/>
    <col min="10495" max="10495" width="18" style="2" customWidth="1"/>
    <col min="10496" max="10496" width="14" style="2" customWidth="1"/>
    <col min="10497" max="10500" width="12.42578125" style="2" customWidth="1"/>
    <col min="10501" max="10501" width="4.85546875" style="2" customWidth="1"/>
    <col min="10502" max="10505" width="12.7109375" style="2" customWidth="1"/>
    <col min="10506" max="10749" width="9.140625" style="2"/>
    <col min="10750" max="10750" width="31.28515625" style="2" customWidth="1"/>
    <col min="10751" max="10751" width="18" style="2" customWidth="1"/>
    <col min="10752" max="10752" width="14" style="2" customWidth="1"/>
    <col min="10753" max="10756" width="12.42578125" style="2" customWidth="1"/>
    <col min="10757" max="10757" width="4.85546875" style="2" customWidth="1"/>
    <col min="10758" max="10761" width="12.7109375" style="2" customWidth="1"/>
    <col min="10762" max="11005" width="9.140625" style="2"/>
    <col min="11006" max="11006" width="31.28515625" style="2" customWidth="1"/>
    <col min="11007" max="11007" width="18" style="2" customWidth="1"/>
    <col min="11008" max="11008" width="14" style="2" customWidth="1"/>
    <col min="11009" max="11012" width="12.42578125" style="2" customWidth="1"/>
    <col min="11013" max="11013" width="4.85546875" style="2" customWidth="1"/>
    <col min="11014" max="11017" width="12.7109375" style="2" customWidth="1"/>
    <col min="11018" max="11261" width="9.140625" style="2"/>
    <col min="11262" max="11262" width="31.28515625" style="2" customWidth="1"/>
    <col min="11263" max="11263" width="18" style="2" customWidth="1"/>
    <col min="11264" max="11264" width="14" style="2" customWidth="1"/>
    <col min="11265" max="11268" width="12.42578125" style="2" customWidth="1"/>
    <col min="11269" max="11269" width="4.85546875" style="2" customWidth="1"/>
    <col min="11270" max="11273" width="12.7109375" style="2" customWidth="1"/>
    <col min="11274" max="11517" width="9.140625" style="2"/>
    <col min="11518" max="11518" width="31.28515625" style="2" customWidth="1"/>
    <col min="11519" max="11519" width="18" style="2" customWidth="1"/>
    <col min="11520" max="11520" width="14" style="2" customWidth="1"/>
    <col min="11521" max="11524" width="12.42578125" style="2" customWidth="1"/>
    <col min="11525" max="11525" width="4.85546875" style="2" customWidth="1"/>
    <col min="11526" max="11529" width="12.7109375" style="2" customWidth="1"/>
    <col min="11530" max="11773" width="9.140625" style="2"/>
    <col min="11774" max="11774" width="31.28515625" style="2" customWidth="1"/>
    <col min="11775" max="11775" width="18" style="2" customWidth="1"/>
    <col min="11776" max="11776" width="14" style="2" customWidth="1"/>
    <col min="11777" max="11780" width="12.42578125" style="2" customWidth="1"/>
    <col min="11781" max="11781" width="4.85546875" style="2" customWidth="1"/>
    <col min="11782" max="11785" width="12.7109375" style="2" customWidth="1"/>
    <col min="11786" max="12029" width="9.140625" style="2"/>
    <col min="12030" max="12030" width="31.28515625" style="2" customWidth="1"/>
    <col min="12031" max="12031" width="18" style="2" customWidth="1"/>
    <col min="12032" max="12032" width="14" style="2" customWidth="1"/>
    <col min="12033" max="12036" width="12.42578125" style="2" customWidth="1"/>
    <col min="12037" max="12037" width="4.85546875" style="2" customWidth="1"/>
    <col min="12038" max="12041" width="12.7109375" style="2" customWidth="1"/>
    <col min="12042" max="12285" width="9.140625" style="2"/>
    <col min="12286" max="12286" width="31.28515625" style="2" customWidth="1"/>
    <col min="12287" max="12287" width="18" style="2" customWidth="1"/>
    <col min="12288" max="12288" width="14" style="2" customWidth="1"/>
    <col min="12289" max="12292" width="12.42578125" style="2" customWidth="1"/>
    <col min="12293" max="12293" width="4.85546875" style="2" customWidth="1"/>
    <col min="12294" max="12297" width="12.7109375" style="2" customWidth="1"/>
    <col min="12298" max="12541" width="9.140625" style="2"/>
    <col min="12542" max="12542" width="31.28515625" style="2" customWidth="1"/>
    <col min="12543" max="12543" width="18" style="2" customWidth="1"/>
    <col min="12544" max="12544" width="14" style="2" customWidth="1"/>
    <col min="12545" max="12548" width="12.42578125" style="2" customWidth="1"/>
    <col min="12549" max="12549" width="4.85546875" style="2" customWidth="1"/>
    <col min="12550" max="12553" width="12.7109375" style="2" customWidth="1"/>
    <col min="12554" max="12797" width="9.140625" style="2"/>
    <col min="12798" max="12798" width="31.28515625" style="2" customWidth="1"/>
    <col min="12799" max="12799" width="18" style="2" customWidth="1"/>
    <col min="12800" max="12800" width="14" style="2" customWidth="1"/>
    <col min="12801" max="12804" width="12.42578125" style="2" customWidth="1"/>
    <col min="12805" max="12805" width="4.85546875" style="2" customWidth="1"/>
    <col min="12806" max="12809" width="12.7109375" style="2" customWidth="1"/>
    <col min="12810" max="13053" width="9.140625" style="2"/>
    <col min="13054" max="13054" width="31.28515625" style="2" customWidth="1"/>
    <col min="13055" max="13055" width="18" style="2" customWidth="1"/>
    <col min="13056" max="13056" width="14" style="2" customWidth="1"/>
    <col min="13057" max="13060" width="12.42578125" style="2" customWidth="1"/>
    <col min="13061" max="13061" width="4.85546875" style="2" customWidth="1"/>
    <col min="13062" max="13065" width="12.7109375" style="2" customWidth="1"/>
    <col min="13066" max="13309" width="9.140625" style="2"/>
    <col min="13310" max="13310" width="31.28515625" style="2" customWidth="1"/>
    <col min="13311" max="13311" width="18" style="2" customWidth="1"/>
    <col min="13312" max="13312" width="14" style="2" customWidth="1"/>
    <col min="13313" max="13316" width="12.42578125" style="2" customWidth="1"/>
    <col min="13317" max="13317" width="4.85546875" style="2" customWidth="1"/>
    <col min="13318" max="13321" width="12.7109375" style="2" customWidth="1"/>
    <col min="13322" max="13565" width="9.140625" style="2"/>
    <col min="13566" max="13566" width="31.28515625" style="2" customWidth="1"/>
    <col min="13567" max="13567" width="18" style="2" customWidth="1"/>
    <col min="13568" max="13568" width="14" style="2" customWidth="1"/>
    <col min="13569" max="13572" width="12.42578125" style="2" customWidth="1"/>
    <col min="13573" max="13573" width="4.85546875" style="2" customWidth="1"/>
    <col min="13574" max="13577" width="12.7109375" style="2" customWidth="1"/>
    <col min="13578" max="13821" width="9.140625" style="2"/>
    <col min="13822" max="13822" width="31.28515625" style="2" customWidth="1"/>
    <col min="13823" max="13823" width="18" style="2" customWidth="1"/>
    <col min="13824" max="13824" width="14" style="2" customWidth="1"/>
    <col min="13825" max="13828" width="12.42578125" style="2" customWidth="1"/>
    <col min="13829" max="13829" width="4.85546875" style="2" customWidth="1"/>
    <col min="13830" max="13833" width="12.7109375" style="2" customWidth="1"/>
    <col min="13834" max="14077" width="9.140625" style="2"/>
    <col min="14078" max="14078" width="31.28515625" style="2" customWidth="1"/>
    <col min="14079" max="14079" width="18" style="2" customWidth="1"/>
    <col min="14080" max="14080" width="14" style="2" customWidth="1"/>
    <col min="14081" max="14084" width="12.42578125" style="2" customWidth="1"/>
    <col min="14085" max="14085" width="4.85546875" style="2" customWidth="1"/>
    <col min="14086" max="14089" width="12.7109375" style="2" customWidth="1"/>
    <col min="14090" max="14333" width="9.140625" style="2"/>
    <col min="14334" max="14334" width="31.28515625" style="2" customWidth="1"/>
    <col min="14335" max="14335" width="18" style="2" customWidth="1"/>
    <col min="14336" max="14336" width="14" style="2" customWidth="1"/>
    <col min="14337" max="14340" width="12.42578125" style="2" customWidth="1"/>
    <col min="14341" max="14341" width="4.85546875" style="2" customWidth="1"/>
    <col min="14342" max="14345" width="12.7109375" style="2" customWidth="1"/>
    <col min="14346" max="14589" width="9.140625" style="2"/>
    <col min="14590" max="14590" width="31.28515625" style="2" customWidth="1"/>
    <col min="14591" max="14591" width="18" style="2" customWidth="1"/>
    <col min="14592" max="14592" width="14" style="2" customWidth="1"/>
    <col min="14593" max="14596" width="12.42578125" style="2" customWidth="1"/>
    <col min="14597" max="14597" width="4.85546875" style="2" customWidth="1"/>
    <col min="14598" max="14601" width="12.7109375" style="2" customWidth="1"/>
    <col min="14602" max="14845" width="9.140625" style="2"/>
    <col min="14846" max="14846" width="31.28515625" style="2" customWidth="1"/>
    <col min="14847" max="14847" width="18" style="2" customWidth="1"/>
    <col min="14848" max="14848" width="14" style="2" customWidth="1"/>
    <col min="14849" max="14852" width="12.42578125" style="2" customWidth="1"/>
    <col min="14853" max="14853" width="4.85546875" style="2" customWidth="1"/>
    <col min="14854" max="14857" width="12.7109375" style="2" customWidth="1"/>
    <col min="14858" max="15101" width="9.140625" style="2"/>
    <col min="15102" max="15102" width="31.28515625" style="2" customWidth="1"/>
    <col min="15103" max="15103" width="18" style="2" customWidth="1"/>
    <col min="15104" max="15104" width="14" style="2" customWidth="1"/>
    <col min="15105" max="15108" width="12.42578125" style="2" customWidth="1"/>
    <col min="15109" max="15109" width="4.85546875" style="2" customWidth="1"/>
    <col min="15110" max="15113" width="12.7109375" style="2" customWidth="1"/>
    <col min="15114" max="15357" width="9.140625" style="2"/>
    <col min="15358" max="15358" width="31.28515625" style="2" customWidth="1"/>
    <col min="15359" max="15359" width="18" style="2" customWidth="1"/>
    <col min="15360" max="15360" width="14" style="2" customWidth="1"/>
    <col min="15361" max="15364" width="12.42578125" style="2" customWidth="1"/>
    <col min="15365" max="15365" width="4.85546875" style="2" customWidth="1"/>
    <col min="15366" max="15369" width="12.7109375" style="2" customWidth="1"/>
    <col min="15370" max="15613" width="9.140625" style="2"/>
    <col min="15614" max="15614" width="31.28515625" style="2" customWidth="1"/>
    <col min="15615" max="15615" width="18" style="2" customWidth="1"/>
    <col min="15616" max="15616" width="14" style="2" customWidth="1"/>
    <col min="15617" max="15620" width="12.42578125" style="2" customWidth="1"/>
    <col min="15621" max="15621" width="4.85546875" style="2" customWidth="1"/>
    <col min="15622" max="15625" width="12.7109375" style="2" customWidth="1"/>
    <col min="15626" max="15869" width="9.140625" style="2"/>
    <col min="15870" max="15870" width="31.28515625" style="2" customWidth="1"/>
    <col min="15871" max="15871" width="18" style="2" customWidth="1"/>
    <col min="15872" max="15872" width="14" style="2" customWidth="1"/>
    <col min="15873" max="15876" width="12.42578125" style="2" customWidth="1"/>
    <col min="15877" max="15877" width="4.85546875" style="2" customWidth="1"/>
    <col min="15878" max="15881" width="12.7109375" style="2" customWidth="1"/>
    <col min="15882" max="16125" width="9.140625" style="2"/>
    <col min="16126" max="16126" width="31.28515625" style="2" customWidth="1"/>
    <col min="16127" max="16127" width="18" style="2" customWidth="1"/>
    <col min="16128" max="16128" width="14" style="2" customWidth="1"/>
    <col min="16129" max="16132" width="12.42578125" style="2" customWidth="1"/>
    <col min="16133" max="16133" width="4.85546875" style="2" customWidth="1"/>
    <col min="16134" max="16137" width="12.7109375" style="2" customWidth="1"/>
    <col min="16138" max="16384" width="9.140625" style="2"/>
  </cols>
  <sheetData>
    <row r="1" spans="1:16" s="324" customFormat="1" ht="18" customHeight="1" x14ac:dyDescent="0.2">
      <c r="A1" s="908" t="str">
        <f>POSTOS!A1:W1</f>
        <v>TRIBUNAL REGIONAL ELEITORAL DO PARANÁ</v>
      </c>
      <c r="B1" s="908"/>
      <c r="C1" s="908"/>
      <c r="D1" s="908"/>
      <c r="E1" s="908"/>
      <c r="F1" s="908"/>
      <c r="G1" s="908"/>
      <c r="H1" s="908"/>
      <c r="I1" s="908"/>
      <c r="J1" s="908"/>
      <c r="K1" s="285"/>
      <c r="L1" s="545"/>
      <c r="M1" s="545"/>
      <c r="N1" s="545"/>
      <c r="O1" s="545"/>
      <c r="P1" s="545"/>
    </row>
    <row r="2" spans="1:16" ht="15.95" customHeight="1" x14ac:dyDescent="0.2">
      <c r="A2" s="909" t="str">
        <f>POSTOS!A2:W2</f>
        <v>PLANILHA DE FORMAÇÃO DE CUSTOS E PREÇOS - Proposta Detalhada</v>
      </c>
      <c r="B2" s="909"/>
      <c r="C2" s="909"/>
      <c r="D2" s="909"/>
      <c r="E2" s="909"/>
      <c r="F2" s="909"/>
      <c r="G2" s="909"/>
      <c r="H2" s="909"/>
      <c r="I2" s="909"/>
      <c r="J2" s="909"/>
      <c r="K2" s="285"/>
      <c r="L2" s="545"/>
      <c r="M2" s="545"/>
      <c r="N2" s="545"/>
      <c r="O2" s="545"/>
    </row>
    <row r="3" spans="1:16" ht="15.95" customHeight="1" x14ac:dyDescent="0.2">
      <c r="A3" s="910" t="str">
        <f>POSTOS!A3:W3</f>
        <v>Apoio Operacional Especializado - Encarregado e Auxiliar de Almoxarifado, e Marceneiro</v>
      </c>
      <c r="B3" s="910"/>
      <c r="C3" s="910"/>
      <c r="D3" s="910"/>
      <c r="E3" s="910"/>
      <c r="F3" s="910"/>
      <c r="G3" s="910"/>
      <c r="H3" s="910"/>
      <c r="I3" s="910"/>
      <c r="J3" s="910"/>
      <c r="K3" s="285"/>
      <c r="L3" s="545"/>
      <c r="M3" s="545"/>
      <c r="N3" s="545"/>
      <c r="O3" s="545"/>
    </row>
    <row r="4" spans="1:16" ht="12.75" customHeight="1" x14ac:dyDescent="0.2">
      <c r="A4" s="99"/>
      <c r="B4" s="99"/>
      <c r="C4" s="99"/>
      <c r="D4" s="99"/>
      <c r="E4" s="99"/>
      <c r="F4" s="99"/>
      <c r="G4" s="99"/>
      <c r="H4" s="99"/>
      <c r="I4" s="99"/>
      <c r="J4" s="99"/>
      <c r="K4" s="285"/>
      <c r="L4" s="545"/>
      <c r="M4" s="545"/>
      <c r="N4" s="545"/>
      <c r="O4" s="545"/>
    </row>
    <row r="5" spans="1:16" x14ac:dyDescent="0.2">
      <c r="A5" s="99"/>
      <c r="B5" s="99"/>
      <c r="C5" s="99"/>
      <c r="D5" s="99"/>
      <c r="E5" s="99"/>
      <c r="F5" s="99"/>
      <c r="G5" s="99"/>
      <c r="H5" s="99"/>
      <c r="I5" s="99"/>
      <c r="J5" s="99"/>
      <c r="K5" s="588"/>
    </row>
    <row r="6" spans="1:16" ht="15" customHeight="1" x14ac:dyDescent="0.2">
      <c r="A6" s="911" t="str">
        <f>POSTOS!A9:W9</f>
        <v>NOME DA EMPRESA</v>
      </c>
      <c r="B6" s="912"/>
      <c r="C6" s="912"/>
      <c r="D6" s="912"/>
      <c r="E6" s="912"/>
      <c r="F6" s="912"/>
      <c r="G6" s="912"/>
      <c r="H6" s="912"/>
      <c r="I6" s="912"/>
      <c r="J6" s="913"/>
      <c r="K6" s="285"/>
      <c r="L6" s="545"/>
      <c r="M6" s="545"/>
      <c r="N6" s="545"/>
      <c r="O6" s="545"/>
    </row>
    <row r="7" spans="1:16" ht="15" customHeight="1" x14ac:dyDescent="0.2">
      <c r="A7" s="914" t="str">
        <f>POSTOS!A10:W10</f>
        <v>CNPJ</v>
      </c>
      <c r="B7" s="915"/>
      <c r="C7" s="915"/>
      <c r="D7" s="915"/>
      <c r="E7" s="915"/>
      <c r="F7" s="915"/>
      <c r="G7" s="915"/>
      <c r="H7" s="915"/>
      <c r="I7" s="915"/>
      <c r="J7" s="916"/>
      <c r="K7" s="285"/>
      <c r="L7" s="545"/>
      <c r="M7" s="545"/>
      <c r="N7" s="545"/>
      <c r="O7" s="545"/>
    </row>
    <row r="8" spans="1:16" ht="13.5" thickBot="1" x14ac:dyDescent="0.25">
      <c r="A8" s="325"/>
      <c r="B8" s="325"/>
      <c r="C8" s="325"/>
      <c r="D8" s="325"/>
      <c r="E8" s="325"/>
      <c r="F8" s="325"/>
      <c r="G8" s="325"/>
      <c r="H8" s="325"/>
      <c r="I8" s="325"/>
      <c r="J8" s="325"/>
      <c r="K8" s="285"/>
      <c r="L8" s="545"/>
      <c r="M8" s="545"/>
      <c r="N8" s="545"/>
      <c r="O8" s="545"/>
    </row>
    <row r="9" spans="1:16" ht="30" customHeight="1" thickBot="1" x14ac:dyDescent="0.25">
      <c r="A9" s="917" t="s">
        <v>370</v>
      </c>
      <c r="B9" s="918"/>
      <c r="C9" s="918"/>
      <c r="D9" s="918"/>
      <c r="E9" s="918"/>
      <c r="F9" s="918"/>
      <c r="G9" s="918"/>
      <c r="H9" s="918"/>
      <c r="I9" s="918"/>
      <c r="J9" s="919"/>
      <c r="K9" s="285"/>
      <c r="L9" s="545"/>
      <c r="M9" s="545"/>
      <c r="N9" s="545"/>
      <c r="O9" s="545"/>
    </row>
    <row r="10" spans="1:16" ht="15.75" customHeight="1" x14ac:dyDescent="0.2">
      <c r="A10" s="77"/>
      <c r="B10" s="77"/>
      <c r="C10" s="77"/>
      <c r="D10" s="77"/>
      <c r="E10" s="77"/>
      <c r="F10" s="77"/>
      <c r="G10" s="77"/>
      <c r="H10" s="77"/>
      <c r="I10" s="77"/>
      <c r="J10" s="77"/>
      <c r="K10" s="372"/>
      <c r="L10" s="373"/>
      <c r="M10" s="373"/>
      <c r="N10" s="373"/>
      <c r="O10" s="373"/>
    </row>
    <row r="11" spans="1:16" ht="15.75" customHeight="1" x14ac:dyDescent="0.2">
      <c r="A11" s="77"/>
      <c r="B11" s="77"/>
      <c r="C11" s="935" t="s">
        <v>229</v>
      </c>
      <c r="D11" s="936"/>
      <c r="F11" s="327" t="s">
        <v>231</v>
      </c>
      <c r="G11" s="77"/>
      <c r="H11" s="374" t="s">
        <v>232</v>
      </c>
      <c r="I11" s="433"/>
      <c r="K11" s="372"/>
      <c r="L11" s="373"/>
      <c r="M11" s="373"/>
      <c r="N11" s="373"/>
      <c r="O11" s="373"/>
    </row>
    <row r="12" spans="1:16" ht="15.75" customHeight="1" x14ac:dyDescent="0.2">
      <c r="A12" s="77"/>
      <c r="B12" s="77"/>
      <c r="C12" s="906">
        <f>POSTOS!C31</f>
        <v>30</v>
      </c>
      <c r="D12" s="907"/>
      <c r="F12" s="638"/>
      <c r="G12" s="77"/>
      <c r="H12" s="328">
        <f>[1]CITL!F17</f>
        <v>0.35</v>
      </c>
      <c r="I12" s="435"/>
      <c r="J12" s="407"/>
      <c r="K12" s="372"/>
      <c r="L12" s="373"/>
      <c r="M12" s="373"/>
      <c r="N12" s="373"/>
      <c r="O12" s="373"/>
    </row>
    <row r="13" spans="1:16" ht="15.75" customHeight="1" x14ac:dyDescent="0.2">
      <c r="A13" s="77"/>
      <c r="B13" s="77"/>
      <c r="C13" s="437"/>
      <c r="D13" s="437"/>
      <c r="E13" s="438"/>
      <c r="F13" s="439"/>
      <c r="G13" s="72"/>
      <c r="H13" s="434"/>
      <c r="I13" s="434"/>
      <c r="J13" s="436"/>
      <c r="K13" s="372"/>
      <c r="L13" s="373"/>
      <c r="M13" s="373"/>
      <c r="N13" s="373"/>
      <c r="O13" s="373"/>
    </row>
    <row r="14" spans="1:16" ht="18" customHeight="1" x14ac:dyDescent="0.2">
      <c r="A14" s="336"/>
      <c r="B14" s="336"/>
      <c r="C14" s="55"/>
      <c r="D14" s="383"/>
      <c r="E14" s="55"/>
      <c r="F14" s="337"/>
      <c r="G14" s="383"/>
      <c r="H14" s="383"/>
      <c r="I14" s="383"/>
      <c r="J14" s="327" t="s">
        <v>233</v>
      </c>
      <c r="K14" s="79"/>
      <c r="L14" s="338"/>
      <c r="M14" s="338"/>
      <c r="N14" s="338"/>
      <c r="O14" s="385"/>
    </row>
    <row r="15" spans="1:16" ht="15.75" customHeight="1" thickBot="1" x14ac:dyDescent="0.3">
      <c r="A15" s="386" t="s">
        <v>392</v>
      </c>
      <c r="B15" s="386"/>
      <c r="C15" s="387"/>
      <c r="D15" s="388"/>
      <c r="E15" s="388"/>
      <c r="F15" s="388"/>
      <c r="G15" s="389"/>
      <c r="H15" s="389"/>
      <c r="I15" s="389"/>
      <c r="J15" s="440">
        <v>1</v>
      </c>
      <c r="K15" s="55"/>
    </row>
    <row r="16" spans="1:16" s="333" customFormat="1" ht="45" customHeight="1" thickTop="1" x14ac:dyDescent="0.2">
      <c r="A16" s="332" t="s">
        <v>8</v>
      </c>
      <c r="B16" s="412" t="s">
        <v>190</v>
      </c>
      <c r="C16" s="332" t="s">
        <v>272</v>
      </c>
      <c r="D16" s="332" t="s">
        <v>236</v>
      </c>
      <c r="E16" s="332" t="s">
        <v>295</v>
      </c>
      <c r="F16" s="332" t="s">
        <v>267</v>
      </c>
      <c r="G16" s="332" t="s">
        <v>232</v>
      </c>
      <c r="H16" s="332" t="s">
        <v>268</v>
      </c>
      <c r="I16" s="332" t="s">
        <v>269</v>
      </c>
      <c r="J16" s="332" t="s">
        <v>261</v>
      </c>
      <c r="K16" s="285"/>
      <c r="L16" s="377" t="s">
        <v>262</v>
      </c>
      <c r="M16" s="377" t="s">
        <v>263</v>
      </c>
      <c r="N16" s="377" t="s">
        <v>264</v>
      </c>
      <c r="O16" s="377" t="s">
        <v>265</v>
      </c>
      <c r="P16" s="377" t="s">
        <v>292</v>
      </c>
    </row>
    <row r="17" spans="1:18" ht="18" customHeight="1" x14ac:dyDescent="0.2">
      <c r="A17" s="334">
        <v>1</v>
      </c>
      <c r="B17" s="410" t="s">
        <v>421</v>
      </c>
      <c r="C17" s="382">
        <v>4</v>
      </c>
      <c r="D17" s="639"/>
      <c r="E17" s="335">
        <f t="shared" ref="E17:E20" si="0">D17*$F$12</f>
        <v>0</v>
      </c>
      <c r="F17" s="335">
        <f t="shared" ref="F17:F20" si="1">D17+E17</f>
        <v>0</v>
      </c>
      <c r="G17" s="378">
        <f t="shared" ref="G17:G20" si="2">F17*$H$12</f>
        <v>0</v>
      </c>
      <c r="H17" s="378">
        <f t="shared" ref="H17:H20" si="3">ROUND(F17+G17,2)</f>
        <v>0</v>
      </c>
      <c r="I17" s="378">
        <f>IFERROR(ROUND(H17*C17*$J$15,2),0)</f>
        <v>0</v>
      </c>
      <c r="J17" s="411">
        <f>IFERROR(ROUND((I17/$J$15)/$C$12,2),0)</f>
        <v>0</v>
      </c>
      <c r="K17" s="55"/>
      <c r="L17" s="543">
        <v>40.22</v>
      </c>
      <c r="M17" s="543">
        <v>41.19</v>
      </c>
      <c r="N17" s="543">
        <v>36.700000000000003</v>
      </c>
      <c r="O17" s="544">
        <f>ROUND((IF(AND(L17="",M17="",N17="")=TRUE,0,AVERAGE(L17:N17))),2)</f>
        <v>39.369999999999997</v>
      </c>
      <c r="P17" s="542" t="s">
        <v>422</v>
      </c>
      <c r="Q17" s="413"/>
    </row>
    <row r="18" spans="1:18" ht="18" customHeight="1" x14ac:dyDescent="0.2">
      <c r="A18" s="374">
        <v>2</v>
      </c>
      <c r="B18" s="410" t="s">
        <v>420</v>
      </c>
      <c r="C18" s="382">
        <v>6</v>
      </c>
      <c r="D18" s="639"/>
      <c r="E18" s="335">
        <f t="shared" si="0"/>
        <v>0</v>
      </c>
      <c r="F18" s="335">
        <f t="shared" si="1"/>
        <v>0</v>
      </c>
      <c r="G18" s="378">
        <f t="shared" si="2"/>
        <v>0</v>
      </c>
      <c r="H18" s="378">
        <f t="shared" si="3"/>
        <v>0</v>
      </c>
      <c r="I18" s="378">
        <f t="shared" ref="I18:I20" si="4">IFERROR(ROUND(H18*C18*$J$15,2),0)</f>
        <v>0</v>
      </c>
      <c r="J18" s="411">
        <f>IFERROR(ROUND((I18/$J$15)/$C$12,2),0)</f>
        <v>0</v>
      </c>
      <c r="K18" s="55"/>
      <c r="L18" s="543">
        <v>36.9</v>
      </c>
      <c r="M18" s="543">
        <v>35</v>
      </c>
      <c r="N18" s="543">
        <v>33.9</v>
      </c>
      <c r="O18" s="544">
        <f>ROUND((IF(AND(L18="",M18="",N18="")=TRUE,0,AVERAGE(L18:N18))),2)</f>
        <v>35.270000000000003</v>
      </c>
      <c r="P18" s="542" t="s">
        <v>419</v>
      </c>
    </row>
    <row r="19" spans="1:18" ht="18" customHeight="1" x14ac:dyDescent="0.2">
      <c r="A19" s="334">
        <v>3</v>
      </c>
      <c r="B19" s="410" t="s">
        <v>445</v>
      </c>
      <c r="C19" s="382">
        <v>20</v>
      </c>
      <c r="D19" s="639"/>
      <c r="E19" s="335">
        <f t="shared" ref="E19" si="5">D19*$F$12</f>
        <v>0</v>
      </c>
      <c r="F19" s="335">
        <f t="shared" ref="F19" si="6">D19+E19</f>
        <v>0</v>
      </c>
      <c r="G19" s="378">
        <f t="shared" ref="G19" si="7">F19*$H$12</f>
        <v>0</v>
      </c>
      <c r="H19" s="378">
        <f t="shared" ref="H19" si="8">ROUND(F19+G19,2)</f>
        <v>0</v>
      </c>
      <c r="I19" s="378">
        <f t="shared" si="4"/>
        <v>0</v>
      </c>
      <c r="J19" s="411">
        <f>IFERROR(ROUND((I19/$J$15)/$C$12,2),0)</f>
        <v>0</v>
      </c>
      <c r="K19" s="55"/>
      <c r="L19" s="543">
        <v>6.5</v>
      </c>
      <c r="M19" s="543">
        <f>43.6/24</f>
        <v>1.8166666666666667</v>
      </c>
      <c r="N19" s="543">
        <v>13.1</v>
      </c>
      <c r="O19" s="544">
        <f>ROUND((IF(AND(L19="",M19="",N19="")=TRUE,0,AVERAGE(L19:N19))),2)</f>
        <v>7.14</v>
      </c>
      <c r="P19" s="542" t="s">
        <v>423</v>
      </c>
    </row>
    <row r="20" spans="1:18" ht="18" customHeight="1" x14ac:dyDescent="0.2">
      <c r="A20" s="374">
        <v>4</v>
      </c>
      <c r="B20" s="410" t="s">
        <v>424</v>
      </c>
      <c r="C20" s="382">
        <v>2</v>
      </c>
      <c r="D20" s="639"/>
      <c r="E20" s="335">
        <f t="shared" si="0"/>
        <v>0</v>
      </c>
      <c r="F20" s="335">
        <f t="shared" si="1"/>
        <v>0</v>
      </c>
      <c r="G20" s="378">
        <f t="shared" si="2"/>
        <v>0</v>
      </c>
      <c r="H20" s="378">
        <f t="shared" si="3"/>
        <v>0</v>
      </c>
      <c r="I20" s="378">
        <f t="shared" si="4"/>
        <v>0</v>
      </c>
      <c r="J20" s="411">
        <f>IFERROR(ROUND((I20/$J$15)/$C$12,2),0)</f>
        <v>0</v>
      </c>
      <c r="K20" s="55"/>
      <c r="L20" s="543">
        <v>10.99</v>
      </c>
      <c r="M20" s="543">
        <v>32.450000000000003</v>
      </c>
      <c r="N20" s="543">
        <v>12.9</v>
      </c>
      <c r="O20" s="544">
        <f>ROUND((IF(AND(L20="",M20="",N20="")=TRUE,0,AVERAGE(L20:N20))),2)</f>
        <v>18.78</v>
      </c>
      <c r="P20" s="542" t="s">
        <v>425</v>
      </c>
    </row>
    <row r="21" spans="1:18" ht="18" customHeight="1" x14ac:dyDescent="0.2">
      <c r="A21" s="334">
        <v>5</v>
      </c>
      <c r="B21" s="640" t="s">
        <v>431</v>
      </c>
      <c r="C21" s="641"/>
      <c r="D21" s="639"/>
      <c r="E21" s="335">
        <f t="shared" ref="E21:E23" si="9">D21*$F$12</f>
        <v>0</v>
      </c>
      <c r="F21" s="335">
        <f t="shared" ref="F21:F23" si="10">D21+E21</f>
        <v>0</v>
      </c>
      <c r="G21" s="378">
        <f t="shared" ref="G21:G23" si="11">F21*$H$12</f>
        <v>0</v>
      </c>
      <c r="H21" s="378">
        <f t="shared" ref="H21:H23" si="12">ROUND(F21+G21,2)</f>
        <v>0</v>
      </c>
      <c r="I21" s="378">
        <f t="shared" ref="I21:I23" si="13">IFERROR(ROUND(H21*C21*$J$15,2),0)</f>
        <v>0</v>
      </c>
      <c r="J21" s="411">
        <f t="shared" ref="J21:J23" si="14">IFERROR(ROUND((I21/$J$15)/$C$12,2),0)</f>
        <v>0</v>
      </c>
      <c r="K21" s="55"/>
      <c r="L21" s="543"/>
      <c r="M21" s="543"/>
      <c r="N21" s="543"/>
      <c r="O21" s="544"/>
      <c r="P21" s="542"/>
      <c r="Q21" s="413"/>
    </row>
    <row r="22" spans="1:18" ht="18" customHeight="1" x14ac:dyDescent="0.2">
      <c r="A22" s="374">
        <v>6</v>
      </c>
      <c r="B22" s="640" t="s">
        <v>431</v>
      </c>
      <c r="C22" s="641"/>
      <c r="D22" s="639"/>
      <c r="E22" s="335">
        <f t="shared" si="9"/>
        <v>0</v>
      </c>
      <c r="F22" s="335">
        <f t="shared" si="10"/>
        <v>0</v>
      </c>
      <c r="G22" s="378">
        <f t="shared" si="11"/>
        <v>0</v>
      </c>
      <c r="H22" s="378">
        <f t="shared" si="12"/>
        <v>0</v>
      </c>
      <c r="I22" s="378">
        <f t="shared" si="13"/>
        <v>0</v>
      </c>
      <c r="J22" s="411">
        <f t="shared" si="14"/>
        <v>0</v>
      </c>
      <c r="K22" s="55"/>
      <c r="L22" s="543"/>
      <c r="M22" s="543"/>
      <c r="N22" s="543"/>
      <c r="O22" s="544"/>
      <c r="P22" s="542"/>
    </row>
    <row r="23" spans="1:18" ht="18" customHeight="1" x14ac:dyDescent="0.2">
      <c r="A23" s="334">
        <v>7</v>
      </c>
      <c r="B23" s="640" t="s">
        <v>431</v>
      </c>
      <c r="C23" s="641"/>
      <c r="D23" s="639"/>
      <c r="E23" s="335">
        <f t="shared" si="9"/>
        <v>0</v>
      </c>
      <c r="F23" s="335">
        <f t="shared" si="10"/>
        <v>0</v>
      </c>
      <c r="G23" s="378">
        <f t="shared" si="11"/>
        <v>0</v>
      </c>
      <c r="H23" s="378">
        <f t="shared" si="12"/>
        <v>0</v>
      </c>
      <c r="I23" s="378">
        <f t="shared" si="13"/>
        <v>0</v>
      </c>
      <c r="J23" s="411">
        <f t="shared" si="14"/>
        <v>0</v>
      </c>
      <c r="K23" s="55"/>
      <c r="L23" s="543"/>
      <c r="M23" s="543"/>
      <c r="N23" s="543"/>
      <c r="O23" s="544"/>
      <c r="P23" s="542"/>
    </row>
    <row r="24" spans="1:18" ht="18" customHeight="1" x14ac:dyDescent="0.2">
      <c r="A24" s="339"/>
      <c r="B24" s="339"/>
      <c r="C24" s="340"/>
      <c r="D24" s="605"/>
      <c r="E24" s="605"/>
      <c r="F24" s="605"/>
      <c r="G24" s="390"/>
      <c r="H24" s="390"/>
      <c r="I24" s="391"/>
      <c r="J24" s="392">
        <f>SUM(J17:J23)</f>
        <v>0</v>
      </c>
      <c r="K24" s="55"/>
      <c r="O24" s="547"/>
    </row>
    <row r="25" spans="1:18" ht="18" customHeight="1" thickBot="1" x14ac:dyDescent="0.25">
      <c r="A25" s="339"/>
      <c r="B25" s="339"/>
      <c r="C25" s="340"/>
      <c r="D25" s="605"/>
      <c r="E25" s="605"/>
      <c r="F25" s="605"/>
      <c r="G25" s="341"/>
      <c r="H25" s="341"/>
      <c r="I25" s="341"/>
      <c r="J25" s="342"/>
      <c r="K25" s="55"/>
      <c r="O25" s="545"/>
    </row>
    <row r="26" spans="1:18" ht="20.100000000000001" customHeight="1" thickBot="1" x14ac:dyDescent="0.25">
      <c r="A26" s="339"/>
      <c r="B26" s="339"/>
      <c r="C26" s="924" t="s">
        <v>308</v>
      </c>
      <c r="D26" s="924"/>
      <c r="E26" s="924"/>
      <c r="F26" s="924"/>
      <c r="G26" s="924"/>
      <c r="H26" s="924"/>
      <c r="I26" s="924"/>
      <c r="J26" s="343">
        <f>J24</f>
        <v>0</v>
      </c>
      <c r="K26" s="55"/>
      <c r="O26" s="545"/>
    </row>
    <row r="27" spans="1:18" ht="20.100000000000001" customHeight="1" x14ac:dyDescent="0.2">
      <c r="A27" s="339"/>
      <c r="B27" s="339"/>
      <c r="C27" s="560"/>
      <c r="D27" s="560"/>
      <c r="E27" s="560"/>
      <c r="F27" s="560"/>
      <c r="G27" s="560"/>
      <c r="H27" s="560"/>
      <c r="I27" s="560"/>
      <c r="J27" s="454"/>
      <c r="K27" s="55"/>
      <c r="O27" s="545"/>
    </row>
    <row r="28" spans="1:18" ht="15.75" customHeight="1" x14ac:dyDescent="0.2">
      <c r="A28" s="77"/>
      <c r="B28" s="77"/>
      <c r="C28" s="437"/>
      <c r="D28" s="437"/>
      <c r="E28" s="438"/>
      <c r="F28" s="439"/>
      <c r="G28" s="72"/>
      <c r="H28" s="434"/>
      <c r="I28" s="434"/>
      <c r="J28" s="436"/>
      <c r="K28" s="372"/>
      <c r="L28" s="373"/>
      <c r="M28" s="373"/>
      <c r="N28" s="373"/>
      <c r="O28" s="373"/>
    </row>
    <row r="29" spans="1:18" ht="18" customHeight="1" x14ac:dyDescent="0.2">
      <c r="A29" s="336"/>
      <c r="B29" s="336"/>
      <c r="C29" s="55"/>
      <c r="D29" s="383"/>
      <c r="E29" s="55"/>
      <c r="F29" s="337"/>
      <c r="G29" s="383"/>
      <c r="H29" s="383"/>
      <c r="I29" s="383"/>
      <c r="J29" s="327" t="s">
        <v>233</v>
      </c>
      <c r="K29" s="79"/>
      <c r="L29" s="338"/>
      <c r="M29" s="338"/>
      <c r="N29" s="338"/>
      <c r="O29" s="385"/>
    </row>
    <row r="30" spans="1:18" ht="15.75" customHeight="1" thickBot="1" x14ac:dyDescent="0.3">
      <c r="A30" s="386" t="s">
        <v>294</v>
      </c>
      <c r="B30" s="386"/>
      <c r="C30" s="387"/>
      <c r="D30" s="388"/>
      <c r="E30" s="388"/>
      <c r="F30" s="388"/>
      <c r="G30" s="389"/>
      <c r="H30" s="389"/>
      <c r="I30" s="389"/>
      <c r="J30" s="440">
        <v>9</v>
      </c>
      <c r="K30" s="55"/>
    </row>
    <row r="31" spans="1:18" s="333" customFormat="1" ht="45" customHeight="1" thickTop="1" x14ac:dyDescent="0.2">
      <c r="A31" s="332" t="s">
        <v>8</v>
      </c>
      <c r="B31" s="412" t="s">
        <v>190</v>
      </c>
      <c r="C31" s="332" t="s">
        <v>272</v>
      </c>
      <c r="D31" s="332" t="s">
        <v>236</v>
      </c>
      <c r="E31" s="332" t="s">
        <v>295</v>
      </c>
      <c r="F31" s="332" t="s">
        <v>267</v>
      </c>
      <c r="G31" s="332" t="s">
        <v>232</v>
      </c>
      <c r="H31" s="332" t="s">
        <v>268</v>
      </c>
      <c r="I31" s="332" t="s">
        <v>269</v>
      </c>
      <c r="J31" s="332" t="s">
        <v>261</v>
      </c>
      <c r="K31" s="285"/>
      <c r="L31" s="377" t="s">
        <v>262</v>
      </c>
      <c r="M31" s="377" t="s">
        <v>263</v>
      </c>
      <c r="N31" s="377" t="s">
        <v>264</v>
      </c>
      <c r="O31" s="377" t="s">
        <v>265</v>
      </c>
      <c r="P31" s="377" t="s">
        <v>292</v>
      </c>
    </row>
    <row r="32" spans="1:18" ht="18" customHeight="1" x14ac:dyDescent="0.2">
      <c r="A32" s="334">
        <v>1</v>
      </c>
      <c r="B32" s="410" t="s">
        <v>277</v>
      </c>
      <c r="C32" s="382">
        <v>4</v>
      </c>
      <c r="D32" s="644"/>
      <c r="E32" s="335">
        <f t="shared" ref="E32" si="15">D32*$F$12</f>
        <v>0</v>
      </c>
      <c r="F32" s="335">
        <f t="shared" ref="F32" si="16">D32+E32</f>
        <v>0</v>
      </c>
      <c r="G32" s="378">
        <f t="shared" ref="G32" si="17">F32*$H$12</f>
        <v>0</v>
      </c>
      <c r="H32" s="378">
        <f t="shared" ref="H32" si="18">ROUND(F32+G32,2)</f>
        <v>0</v>
      </c>
      <c r="I32" s="378">
        <f>IFERROR(ROUND(H32*C32,2),0)</f>
        <v>0</v>
      </c>
      <c r="J32" s="411">
        <f>IFERROR(ROUND(I32/$J$30/$C$12,2),0)</f>
        <v>0</v>
      </c>
      <c r="K32" s="55"/>
      <c r="L32" s="543">
        <v>160.57</v>
      </c>
      <c r="M32" s="543">
        <v>180</v>
      </c>
      <c r="N32" s="543">
        <v>167.5</v>
      </c>
      <c r="O32" s="544">
        <f>ROUND((IF(AND(L32="",M32="",N32="")=TRUE,0,AVERAGE(L32:N32))),2)</f>
        <v>169.36</v>
      </c>
      <c r="P32" s="542" t="s">
        <v>426</v>
      </c>
      <c r="Q32" s="413"/>
      <c r="R32" s="413"/>
    </row>
    <row r="33" spans="1:16" ht="18" customHeight="1" x14ac:dyDescent="0.2">
      <c r="A33" s="374">
        <v>2</v>
      </c>
      <c r="B33" s="410" t="s">
        <v>446</v>
      </c>
      <c r="C33" s="382">
        <v>4</v>
      </c>
      <c r="D33" s="644"/>
      <c r="E33" s="335">
        <f t="shared" ref="E33:E37" si="19">D33*$F$12</f>
        <v>0</v>
      </c>
      <c r="F33" s="335">
        <f t="shared" ref="F33:F37" si="20">D33+E33</f>
        <v>0</v>
      </c>
      <c r="G33" s="378">
        <f t="shared" ref="G33:G37" si="21">F33*$H$12</f>
        <v>0</v>
      </c>
      <c r="H33" s="378">
        <f t="shared" ref="H33:H37" si="22">ROUND(F33+G33,2)</f>
        <v>0</v>
      </c>
      <c r="I33" s="378">
        <f t="shared" ref="I33:I37" si="23">IFERROR(ROUND(H33*C33,2),0)</f>
        <v>0</v>
      </c>
      <c r="J33" s="411">
        <f t="shared" ref="J33:J37" si="24">IFERROR(ROUND(I33/$J$30/$C$12,2),0)</f>
        <v>0</v>
      </c>
      <c r="K33" s="55"/>
      <c r="L33" s="543">
        <v>14</v>
      </c>
      <c r="M33" s="543">
        <v>11.98</v>
      </c>
      <c r="N33" s="543">
        <v>13.5</v>
      </c>
      <c r="O33" s="544">
        <f t="shared" ref="O33:O34" si="25">ROUND((IF(AND(L33="",M33="",N33="")=TRUE,0,AVERAGE(L33:N33))),2)</f>
        <v>13.16</v>
      </c>
      <c r="P33" s="542" t="s">
        <v>426</v>
      </c>
    </row>
    <row r="34" spans="1:16" ht="18" customHeight="1" x14ac:dyDescent="0.2">
      <c r="A34" s="374">
        <v>3</v>
      </c>
      <c r="B34" s="410" t="s">
        <v>278</v>
      </c>
      <c r="C34" s="382">
        <v>4</v>
      </c>
      <c r="D34" s="644"/>
      <c r="E34" s="335">
        <f t="shared" si="19"/>
        <v>0</v>
      </c>
      <c r="F34" s="335">
        <f t="shared" si="20"/>
        <v>0</v>
      </c>
      <c r="G34" s="378">
        <f t="shared" si="21"/>
        <v>0</v>
      </c>
      <c r="H34" s="378">
        <f t="shared" si="22"/>
        <v>0</v>
      </c>
      <c r="I34" s="378">
        <f t="shared" si="23"/>
        <v>0</v>
      </c>
      <c r="J34" s="411">
        <f t="shared" si="24"/>
        <v>0</v>
      </c>
      <c r="K34" s="55"/>
      <c r="L34" s="543">
        <v>10</v>
      </c>
      <c r="M34" s="543">
        <v>11.11</v>
      </c>
      <c r="N34" s="546">
        <v>10.6</v>
      </c>
      <c r="O34" s="544">
        <f t="shared" si="25"/>
        <v>10.57</v>
      </c>
      <c r="P34" s="542" t="s">
        <v>426</v>
      </c>
    </row>
    <row r="35" spans="1:16" ht="18" customHeight="1" x14ac:dyDescent="0.2">
      <c r="A35" s="374">
        <v>4</v>
      </c>
      <c r="B35" s="640" t="s">
        <v>293</v>
      </c>
      <c r="C35" s="641"/>
      <c r="D35" s="644"/>
      <c r="E35" s="335">
        <f t="shared" si="19"/>
        <v>0</v>
      </c>
      <c r="F35" s="335">
        <f t="shared" si="20"/>
        <v>0</v>
      </c>
      <c r="G35" s="378">
        <f t="shared" si="21"/>
        <v>0</v>
      </c>
      <c r="H35" s="378">
        <f t="shared" si="22"/>
        <v>0</v>
      </c>
      <c r="I35" s="378">
        <f t="shared" si="23"/>
        <v>0</v>
      </c>
      <c r="J35" s="411">
        <f t="shared" si="24"/>
        <v>0</v>
      </c>
      <c r="K35" s="55"/>
      <c r="L35" s="543"/>
      <c r="M35" s="543"/>
      <c r="N35" s="543"/>
      <c r="O35" s="544"/>
      <c r="P35" s="542"/>
    </row>
    <row r="36" spans="1:16" ht="18" customHeight="1" x14ac:dyDescent="0.2">
      <c r="A36" s="374">
        <v>5</v>
      </c>
      <c r="B36" s="640" t="s">
        <v>293</v>
      </c>
      <c r="C36" s="641"/>
      <c r="D36" s="644"/>
      <c r="E36" s="335">
        <f t="shared" si="19"/>
        <v>0</v>
      </c>
      <c r="F36" s="335">
        <f t="shared" si="20"/>
        <v>0</v>
      </c>
      <c r="G36" s="378">
        <f t="shared" si="21"/>
        <v>0</v>
      </c>
      <c r="H36" s="378">
        <f t="shared" si="22"/>
        <v>0</v>
      </c>
      <c r="I36" s="378">
        <f t="shared" si="23"/>
        <v>0</v>
      </c>
      <c r="J36" s="411">
        <f t="shared" si="24"/>
        <v>0</v>
      </c>
      <c r="K36" s="55"/>
      <c r="L36" s="543"/>
      <c r="M36" s="543"/>
      <c r="N36" s="543"/>
      <c r="O36" s="544"/>
      <c r="P36" s="542"/>
    </row>
    <row r="37" spans="1:16" ht="18" customHeight="1" x14ac:dyDescent="0.2">
      <c r="A37" s="374">
        <v>6</v>
      </c>
      <c r="B37" s="640" t="s">
        <v>293</v>
      </c>
      <c r="C37" s="641"/>
      <c r="D37" s="644"/>
      <c r="E37" s="335">
        <f t="shared" si="19"/>
        <v>0</v>
      </c>
      <c r="F37" s="335">
        <f t="shared" si="20"/>
        <v>0</v>
      </c>
      <c r="G37" s="378">
        <f t="shared" si="21"/>
        <v>0</v>
      </c>
      <c r="H37" s="378">
        <f t="shared" si="22"/>
        <v>0</v>
      </c>
      <c r="I37" s="378">
        <f t="shared" si="23"/>
        <v>0</v>
      </c>
      <c r="J37" s="411">
        <f t="shared" si="24"/>
        <v>0</v>
      </c>
      <c r="K37" s="55"/>
      <c r="L37" s="543"/>
      <c r="M37" s="543"/>
      <c r="N37" s="543"/>
      <c r="O37" s="544"/>
      <c r="P37" s="542"/>
    </row>
    <row r="38" spans="1:16" ht="18" customHeight="1" x14ac:dyDescent="0.2">
      <c r="A38" s="339"/>
      <c r="B38" s="339"/>
      <c r="C38" s="340"/>
      <c r="D38" s="605"/>
      <c r="E38" s="605"/>
      <c r="F38" s="605"/>
      <c r="G38" s="390"/>
      <c r="H38" s="390"/>
      <c r="I38" s="391"/>
      <c r="J38" s="392">
        <f>SUM(J32:J37)</f>
        <v>0</v>
      </c>
      <c r="K38" s="55"/>
      <c r="O38" s="547"/>
    </row>
    <row r="39" spans="1:16" ht="15.75" customHeight="1" x14ac:dyDescent="0.2">
      <c r="A39" s="77"/>
      <c r="B39" s="77"/>
      <c r="C39" s="437"/>
      <c r="D39" s="437"/>
      <c r="E39" s="438"/>
      <c r="F39" s="439"/>
      <c r="G39" s="72"/>
      <c r="H39" s="434"/>
      <c r="I39" s="434"/>
      <c r="J39" s="407"/>
      <c r="K39" s="372"/>
      <c r="L39" s="373"/>
      <c r="M39" s="373"/>
      <c r="N39" s="373"/>
      <c r="O39" s="373"/>
    </row>
    <row r="40" spans="1:16" ht="15.75" customHeight="1" thickBot="1" x14ac:dyDescent="0.3">
      <c r="A40" s="386" t="s">
        <v>438</v>
      </c>
      <c r="B40" s="386"/>
      <c r="C40" s="387"/>
      <c r="D40" s="388"/>
      <c r="E40" s="388"/>
      <c r="F40" s="388"/>
      <c r="G40" s="389"/>
      <c r="H40" s="389"/>
      <c r="I40" s="389"/>
      <c r="J40" s="389"/>
      <c r="K40" s="55"/>
      <c r="O40" s="548"/>
    </row>
    <row r="41" spans="1:16" s="333" customFormat="1" ht="45" customHeight="1" thickTop="1" x14ac:dyDescent="0.2">
      <c r="A41" s="332" t="s">
        <v>8</v>
      </c>
      <c r="B41" s="412" t="s">
        <v>190</v>
      </c>
      <c r="C41" s="332" t="s">
        <v>270</v>
      </c>
      <c r="D41" s="332" t="s">
        <v>236</v>
      </c>
      <c r="E41" s="332" t="s">
        <v>266</v>
      </c>
      <c r="F41" s="332" t="s">
        <v>267</v>
      </c>
      <c r="G41" s="332" t="s">
        <v>232</v>
      </c>
      <c r="H41" s="332" t="s">
        <v>268</v>
      </c>
      <c r="I41" s="332" t="s">
        <v>269</v>
      </c>
      <c r="J41" s="332" t="s">
        <v>261</v>
      </c>
      <c r="K41" s="285"/>
      <c r="L41" s="377" t="s">
        <v>262</v>
      </c>
      <c r="M41" s="377" t="s">
        <v>263</v>
      </c>
      <c r="N41" s="377" t="s">
        <v>264</v>
      </c>
      <c r="O41" s="408" t="s">
        <v>265</v>
      </c>
      <c r="P41" s="377" t="s">
        <v>292</v>
      </c>
    </row>
    <row r="42" spans="1:16" ht="32.1" customHeight="1" x14ac:dyDescent="0.2">
      <c r="A42" s="374">
        <v>1</v>
      </c>
      <c r="B42" s="409" t="s">
        <v>274</v>
      </c>
      <c r="C42" s="382">
        <v>1</v>
      </c>
      <c r="D42" s="639"/>
      <c r="E42" s="335">
        <f>D42*$F$12</f>
        <v>0</v>
      </c>
      <c r="F42" s="335">
        <f>D42+E42</f>
        <v>0</v>
      </c>
      <c r="G42" s="378">
        <f>F42*$H$12</f>
        <v>0</v>
      </c>
      <c r="H42" s="378">
        <f>ROUND(F42+G42,2)</f>
        <v>0</v>
      </c>
      <c r="I42" s="378">
        <f>IFERROR(ROUND(H42*C42,2),0)</f>
        <v>0</v>
      </c>
      <c r="J42" s="411">
        <f>IFERROR(ROUND(I42/$C$12,2),0)</f>
        <v>0</v>
      </c>
      <c r="K42" s="55"/>
      <c r="L42" s="543">
        <v>37.409999999999997</v>
      </c>
      <c r="M42" s="543">
        <v>35.32</v>
      </c>
      <c r="N42" s="543">
        <v>39.58</v>
      </c>
      <c r="O42" s="544">
        <f>ROUND((IF(AND(L42="",M42="",N42="")=TRUE,0,AVERAGE(L42:N42))),2)</f>
        <v>37.44</v>
      </c>
      <c r="P42" s="542" t="s">
        <v>426</v>
      </c>
    </row>
    <row r="43" spans="1:16" ht="18" customHeight="1" x14ac:dyDescent="0.2">
      <c r="A43" s="374">
        <v>2</v>
      </c>
      <c r="B43" s="410" t="s">
        <v>444</v>
      </c>
      <c r="C43" s="382">
        <v>4</v>
      </c>
      <c r="D43" s="639"/>
      <c r="E43" s="335">
        <f t="shared" ref="E43:E49" si="26">D43*$F$12</f>
        <v>0</v>
      </c>
      <c r="F43" s="335">
        <f t="shared" ref="F43:F49" si="27">D43+E43</f>
        <v>0</v>
      </c>
      <c r="G43" s="378">
        <f t="shared" ref="G43:G49" si="28">F43*$H$12</f>
        <v>0</v>
      </c>
      <c r="H43" s="378">
        <f t="shared" ref="H43:H49" si="29">ROUND(F43+G43,2)</f>
        <v>0</v>
      </c>
      <c r="I43" s="378">
        <f>IFERROR(ROUND(H43*C43,2),0)</f>
        <v>0</v>
      </c>
      <c r="J43" s="411">
        <f t="shared" ref="J43:J49" si="30">IFERROR(ROUND(I43/$C$12,2),0)</f>
        <v>0</v>
      </c>
      <c r="K43" s="55"/>
      <c r="L43" s="543">
        <v>3.8</v>
      </c>
      <c r="M43" s="543">
        <v>2.79</v>
      </c>
      <c r="N43" s="543">
        <v>2.94</v>
      </c>
      <c r="O43" s="544">
        <f>ROUND((IF(AND(L43="",M43="",N43="")=TRUE,0,AVERAGE(L43:N43))),2)</f>
        <v>3.18</v>
      </c>
      <c r="P43" s="542" t="s">
        <v>426</v>
      </c>
    </row>
    <row r="44" spans="1:16" ht="30" customHeight="1" x14ac:dyDescent="0.2">
      <c r="A44" s="374">
        <v>3</v>
      </c>
      <c r="B44" s="409" t="s">
        <v>275</v>
      </c>
      <c r="C44" s="382">
        <v>3</v>
      </c>
      <c r="D44" s="639"/>
      <c r="E44" s="335">
        <f t="shared" si="26"/>
        <v>0</v>
      </c>
      <c r="F44" s="335">
        <f t="shared" si="27"/>
        <v>0</v>
      </c>
      <c r="G44" s="378">
        <f t="shared" si="28"/>
        <v>0</v>
      </c>
      <c r="H44" s="378">
        <f t="shared" si="29"/>
        <v>0</v>
      </c>
      <c r="I44" s="378">
        <f t="shared" ref="I44:I49" si="31">IFERROR(ROUND(H44*C44,2),0)</f>
        <v>0</v>
      </c>
      <c r="J44" s="411">
        <f t="shared" si="30"/>
        <v>0</v>
      </c>
      <c r="K44" s="55"/>
      <c r="L44" s="543">
        <v>7.49</v>
      </c>
      <c r="M44" s="543">
        <v>6.55</v>
      </c>
      <c r="N44" s="543">
        <v>8.25</v>
      </c>
      <c r="O44" s="544">
        <f>ROUND((IF(AND(L44="",M44="",N44="")=TRUE,0,AVERAGE(L44:N44))),2)</f>
        <v>7.43</v>
      </c>
      <c r="P44" s="542" t="s">
        <v>426</v>
      </c>
    </row>
    <row r="45" spans="1:16" ht="18" customHeight="1" x14ac:dyDescent="0.2">
      <c r="A45" s="334">
        <v>4</v>
      </c>
      <c r="B45" s="409" t="s">
        <v>276</v>
      </c>
      <c r="C45" s="382">
        <v>2</v>
      </c>
      <c r="D45" s="639"/>
      <c r="E45" s="335">
        <f t="shared" si="26"/>
        <v>0</v>
      </c>
      <c r="F45" s="335">
        <f t="shared" si="27"/>
        <v>0</v>
      </c>
      <c r="G45" s="378">
        <f t="shared" si="28"/>
        <v>0</v>
      </c>
      <c r="H45" s="378">
        <f t="shared" si="29"/>
        <v>0</v>
      </c>
      <c r="I45" s="378">
        <f t="shared" si="31"/>
        <v>0</v>
      </c>
      <c r="J45" s="411">
        <f t="shared" si="30"/>
        <v>0</v>
      </c>
      <c r="K45" s="55"/>
      <c r="L45" s="543">
        <v>73</v>
      </c>
      <c r="M45" s="543">
        <v>69.89</v>
      </c>
      <c r="N45" s="543">
        <v>79.5</v>
      </c>
      <c r="O45" s="544">
        <f>ROUND((IF(AND(L45="",M45="",N45="")=TRUE,0,AVERAGE(L45:N45))),2)</f>
        <v>74.13</v>
      </c>
      <c r="P45" s="542" t="s">
        <v>426</v>
      </c>
    </row>
    <row r="46" spans="1:16" ht="18" customHeight="1" x14ac:dyDescent="0.2">
      <c r="A46" s="374">
        <v>5</v>
      </c>
      <c r="B46" s="640" t="s">
        <v>293</v>
      </c>
      <c r="C46" s="641"/>
      <c r="D46" s="639"/>
      <c r="E46" s="335">
        <f t="shared" si="26"/>
        <v>0</v>
      </c>
      <c r="F46" s="335">
        <f t="shared" si="27"/>
        <v>0</v>
      </c>
      <c r="G46" s="378">
        <f t="shared" si="28"/>
        <v>0</v>
      </c>
      <c r="H46" s="378">
        <f t="shared" si="29"/>
        <v>0</v>
      </c>
      <c r="I46" s="378">
        <f t="shared" si="31"/>
        <v>0</v>
      </c>
      <c r="J46" s="411">
        <f t="shared" si="30"/>
        <v>0</v>
      </c>
      <c r="K46" s="55"/>
      <c r="L46" s="543"/>
      <c r="M46" s="543"/>
      <c r="N46" s="543"/>
      <c r="O46" s="544"/>
      <c r="P46" s="542"/>
    </row>
    <row r="47" spans="1:16" ht="18" customHeight="1" x14ac:dyDescent="0.2">
      <c r="A47" s="374">
        <v>6</v>
      </c>
      <c r="B47" s="640" t="s">
        <v>293</v>
      </c>
      <c r="C47" s="641"/>
      <c r="D47" s="639"/>
      <c r="E47" s="335">
        <f t="shared" si="26"/>
        <v>0</v>
      </c>
      <c r="F47" s="335">
        <f t="shared" si="27"/>
        <v>0</v>
      </c>
      <c r="G47" s="378">
        <f t="shared" si="28"/>
        <v>0</v>
      </c>
      <c r="H47" s="378">
        <f t="shared" si="29"/>
        <v>0</v>
      </c>
      <c r="I47" s="378">
        <f t="shared" si="31"/>
        <v>0</v>
      </c>
      <c r="J47" s="411">
        <f t="shared" si="30"/>
        <v>0</v>
      </c>
      <c r="K47" s="55"/>
      <c r="L47" s="543"/>
      <c r="M47" s="543"/>
      <c r="N47" s="543"/>
      <c r="O47" s="544"/>
      <c r="P47" s="542"/>
    </row>
    <row r="48" spans="1:16" ht="18" customHeight="1" x14ac:dyDescent="0.2">
      <c r="A48" s="374">
        <v>7</v>
      </c>
      <c r="B48" s="640" t="s">
        <v>293</v>
      </c>
      <c r="C48" s="641"/>
      <c r="D48" s="639"/>
      <c r="E48" s="335">
        <f t="shared" si="26"/>
        <v>0</v>
      </c>
      <c r="F48" s="335">
        <f t="shared" si="27"/>
        <v>0</v>
      </c>
      <c r="G48" s="378">
        <f t="shared" si="28"/>
        <v>0</v>
      </c>
      <c r="H48" s="378">
        <f t="shared" si="29"/>
        <v>0</v>
      </c>
      <c r="I48" s="378">
        <f t="shared" si="31"/>
        <v>0</v>
      </c>
      <c r="J48" s="411">
        <f t="shared" si="30"/>
        <v>0</v>
      </c>
      <c r="K48" s="55"/>
      <c r="L48" s="543"/>
      <c r="M48" s="543"/>
      <c r="N48" s="543"/>
      <c r="O48" s="544"/>
      <c r="P48" s="542"/>
    </row>
    <row r="49" spans="1:16" ht="18" customHeight="1" x14ac:dyDescent="0.2">
      <c r="A49" s="374">
        <v>8</v>
      </c>
      <c r="B49" s="640" t="s">
        <v>293</v>
      </c>
      <c r="C49" s="641"/>
      <c r="D49" s="639"/>
      <c r="E49" s="335">
        <f t="shared" si="26"/>
        <v>0</v>
      </c>
      <c r="F49" s="335">
        <f t="shared" si="27"/>
        <v>0</v>
      </c>
      <c r="G49" s="378">
        <f t="shared" si="28"/>
        <v>0</v>
      </c>
      <c r="H49" s="378">
        <f t="shared" si="29"/>
        <v>0</v>
      </c>
      <c r="I49" s="378">
        <f t="shared" si="31"/>
        <v>0</v>
      </c>
      <c r="J49" s="411">
        <f t="shared" si="30"/>
        <v>0</v>
      </c>
      <c r="K49" s="55"/>
      <c r="L49" s="543"/>
      <c r="M49" s="543"/>
      <c r="N49" s="543"/>
      <c r="O49" s="544">
        <f>ROUND((IF(AND(L49="",M49="",N49="")=TRUE,0,AVERAGE(L49:N49))),2)</f>
        <v>0</v>
      </c>
      <c r="P49" s="542"/>
    </row>
    <row r="50" spans="1:16" ht="18" customHeight="1" x14ac:dyDescent="0.2">
      <c r="A50" s="339"/>
      <c r="B50" s="339"/>
      <c r="C50" s="340"/>
      <c r="D50" s="605"/>
      <c r="E50" s="605"/>
      <c r="F50" s="605"/>
      <c r="G50" s="390"/>
      <c r="H50" s="390"/>
      <c r="I50" s="391"/>
      <c r="J50" s="392">
        <f>SUM(J42:J49)</f>
        <v>0</v>
      </c>
      <c r="K50" s="55"/>
      <c r="O50" s="547"/>
    </row>
    <row r="51" spans="1:16" ht="18" customHeight="1" thickBot="1" x14ac:dyDescent="0.25">
      <c r="A51" s="339"/>
      <c r="B51" s="339"/>
      <c r="C51" s="340"/>
      <c r="D51" s="605"/>
      <c r="E51" s="605"/>
      <c r="F51" s="605"/>
      <c r="G51" s="341"/>
      <c r="H51" s="341"/>
      <c r="I51" s="341"/>
      <c r="J51" s="342"/>
      <c r="K51" s="55"/>
      <c r="O51" s="545"/>
    </row>
    <row r="52" spans="1:16" ht="20.100000000000001" customHeight="1" thickBot="1" x14ac:dyDescent="0.25">
      <c r="A52" s="339"/>
      <c r="B52" s="339"/>
      <c r="C52" s="900" t="s">
        <v>296</v>
      </c>
      <c r="D52" s="900"/>
      <c r="E52" s="900"/>
      <c r="F52" s="900"/>
      <c r="G52" s="900"/>
      <c r="H52" s="900"/>
      <c r="I52" s="900"/>
      <c r="J52" s="343">
        <f>J38+J50</f>
        <v>0</v>
      </c>
      <c r="K52" s="55"/>
      <c r="O52" s="545"/>
    </row>
    <row r="53" spans="1:16" ht="20.100000000000001" customHeight="1" thickBot="1" x14ac:dyDescent="0.25">
      <c r="A53" s="339"/>
      <c r="B53" s="339"/>
      <c r="C53" s="924" t="s">
        <v>308</v>
      </c>
      <c r="D53" s="924"/>
      <c r="E53" s="924"/>
      <c r="F53" s="924"/>
      <c r="G53" s="924"/>
      <c r="H53" s="924"/>
      <c r="I53" s="924"/>
      <c r="J53" s="343">
        <f>J50</f>
        <v>0</v>
      </c>
      <c r="K53" s="55"/>
      <c r="O53" s="545"/>
    </row>
    <row r="54" spans="1:16" ht="15.75" customHeight="1" x14ac:dyDescent="0.2">
      <c r="A54" s="77"/>
      <c r="B54" s="77"/>
      <c r="C54" s="437"/>
      <c r="D54" s="437"/>
      <c r="E54" s="438"/>
      <c r="F54" s="439"/>
      <c r="G54" s="72"/>
      <c r="H54" s="434"/>
      <c r="I54" s="434"/>
      <c r="J54" s="407"/>
      <c r="K54" s="372"/>
      <c r="L54" s="373"/>
      <c r="M54" s="373"/>
      <c r="N54" s="373"/>
      <c r="O54" s="373"/>
    </row>
    <row r="55" spans="1:16" ht="18" customHeight="1" x14ac:dyDescent="0.2">
      <c r="A55" s="336"/>
      <c r="B55" s="336"/>
      <c r="C55" s="55"/>
      <c r="D55" s="383"/>
      <c r="E55" s="55"/>
      <c r="F55" s="337"/>
      <c r="G55" s="383"/>
      <c r="H55" s="383"/>
      <c r="I55" s="383"/>
      <c r="J55" s="407"/>
      <c r="K55" s="79"/>
      <c r="L55" s="338"/>
      <c r="M55" s="338"/>
      <c r="N55" s="338"/>
      <c r="O55" s="385"/>
    </row>
    <row r="56" spans="1:16" s="1" customFormat="1" ht="16.5" thickBot="1" x14ac:dyDescent="0.3">
      <c r="A56" s="920" t="s">
        <v>441</v>
      </c>
      <c r="B56" s="921"/>
      <c r="C56" s="922"/>
      <c r="D56" s="923"/>
      <c r="E56" s="599"/>
      <c r="F56" s="599"/>
      <c r="G56" s="599"/>
      <c r="H56" s="599"/>
      <c r="I56" s="599"/>
      <c r="J56" s="599"/>
      <c r="K56" s="361"/>
      <c r="L56" s="549"/>
      <c r="M56" s="260"/>
      <c r="N56" s="260"/>
      <c r="O56" s="260"/>
      <c r="P56" s="260"/>
    </row>
    <row r="57" spans="1:16" s="1" customFormat="1" ht="65.099999999999994" customHeight="1" thickTop="1" x14ac:dyDescent="0.2">
      <c r="A57" s="61" t="s">
        <v>8</v>
      </c>
      <c r="B57" s="446" t="s">
        <v>190</v>
      </c>
      <c r="C57" s="61" t="s">
        <v>298</v>
      </c>
      <c r="D57" s="61" t="s">
        <v>440</v>
      </c>
      <c r="E57" s="447" t="s">
        <v>439</v>
      </c>
      <c r="F57" s="432" t="s">
        <v>297</v>
      </c>
      <c r="G57" s="61" t="s">
        <v>256</v>
      </c>
      <c r="H57" s="61" t="s">
        <v>210</v>
      </c>
      <c r="I57" s="61" t="s">
        <v>271</v>
      </c>
      <c r="J57" s="61" t="s">
        <v>442</v>
      </c>
      <c r="K57" s="443"/>
      <c r="L57" s="377" t="s">
        <v>262</v>
      </c>
      <c r="M57" s="377" t="s">
        <v>263</v>
      </c>
      <c r="N57" s="377" t="s">
        <v>264</v>
      </c>
      <c r="O57" s="377" t="s">
        <v>265</v>
      </c>
      <c r="P57" s="377" t="s">
        <v>292</v>
      </c>
    </row>
    <row r="58" spans="1:16" s="1" customFormat="1" ht="30.75" customHeight="1" x14ac:dyDescent="0.2">
      <c r="A58" s="561">
        <v>1</v>
      </c>
      <c r="B58" s="562" t="s">
        <v>299</v>
      </c>
      <c r="C58" s="566">
        <v>3</v>
      </c>
      <c r="D58" s="561">
        <v>15</v>
      </c>
      <c r="E58" s="563">
        <f t="shared" ref="E58:E62" si="32">IFERROR($C$12/D58,0)</f>
        <v>2</v>
      </c>
      <c r="F58" s="567">
        <f t="shared" ref="F58:F63" si="33">C58*E58</f>
        <v>6</v>
      </c>
      <c r="G58" s="645"/>
      <c r="H58" s="564">
        <f>G58*$H$12</f>
        <v>0</v>
      </c>
      <c r="I58" s="564">
        <f t="shared" ref="I58:I63" si="34">ROUND(G58+H58,2)</f>
        <v>0</v>
      </c>
      <c r="J58" s="565">
        <f>IFERROR(ROUND(((I58*F58)/C12),2),0)</f>
        <v>0</v>
      </c>
      <c r="L58" s="543">
        <v>62.37</v>
      </c>
      <c r="M58" s="543">
        <v>66.349999999999994</v>
      </c>
      <c r="N58" s="543">
        <v>69</v>
      </c>
      <c r="O58" s="544">
        <f>ROUND((IF(AND(L58="",M58="",N58="")=TRUE,0,AVERAGE(L58:N58))),2)</f>
        <v>65.91</v>
      </c>
      <c r="P58" s="542" t="s">
        <v>426</v>
      </c>
    </row>
    <row r="59" spans="1:16" s="1" customFormat="1" ht="27.75" customHeight="1" x14ac:dyDescent="0.2">
      <c r="A59" s="561">
        <v>2</v>
      </c>
      <c r="B59" s="562" t="s">
        <v>300</v>
      </c>
      <c r="C59" s="566">
        <v>5</v>
      </c>
      <c r="D59" s="561">
        <v>10</v>
      </c>
      <c r="E59" s="563">
        <f t="shared" si="32"/>
        <v>3</v>
      </c>
      <c r="F59" s="567">
        <f t="shared" si="33"/>
        <v>15</v>
      </c>
      <c r="G59" s="645"/>
      <c r="H59" s="564">
        <f t="shared" ref="H59:H63" si="35">G59*$H$12</f>
        <v>0</v>
      </c>
      <c r="I59" s="564">
        <f t="shared" si="34"/>
        <v>0</v>
      </c>
      <c r="J59" s="565">
        <f t="shared" ref="J59:J63" si="36">IFERROR(ROUND(((C59*I59)/D59),2),0)</f>
        <v>0</v>
      </c>
      <c r="L59" s="543">
        <v>59.9</v>
      </c>
      <c r="M59" s="543">
        <v>58.33</v>
      </c>
      <c r="N59" s="543">
        <v>64</v>
      </c>
      <c r="O59" s="544">
        <f>ROUND((IF(AND(L59="",M59="",N59="")=TRUE,0,AVERAGE(L59:N59))),2)</f>
        <v>60.74</v>
      </c>
      <c r="P59" s="542" t="s">
        <v>426</v>
      </c>
    </row>
    <row r="60" spans="1:16" s="1" customFormat="1" ht="31.5" customHeight="1" x14ac:dyDescent="0.2">
      <c r="A60" s="561">
        <v>3</v>
      </c>
      <c r="B60" s="562" t="s">
        <v>301</v>
      </c>
      <c r="C60" s="566">
        <v>2</v>
      </c>
      <c r="D60" s="561">
        <v>10</v>
      </c>
      <c r="E60" s="563">
        <f t="shared" si="32"/>
        <v>3</v>
      </c>
      <c r="F60" s="567">
        <f t="shared" si="33"/>
        <v>6</v>
      </c>
      <c r="G60" s="645"/>
      <c r="H60" s="564">
        <f t="shared" si="35"/>
        <v>0</v>
      </c>
      <c r="I60" s="564">
        <f t="shared" si="34"/>
        <v>0</v>
      </c>
      <c r="J60" s="565">
        <f t="shared" si="36"/>
        <v>0</v>
      </c>
      <c r="L60" s="543">
        <v>74</v>
      </c>
      <c r="M60" s="543">
        <v>68.5</v>
      </c>
      <c r="N60" s="543">
        <v>84</v>
      </c>
      <c r="O60" s="544">
        <f>ROUND((IF(AND(L60="",M60="",N60="")=TRUE,0,AVERAGE(L60:N60))),2)</f>
        <v>75.5</v>
      </c>
      <c r="P60" s="542" t="s">
        <v>426</v>
      </c>
    </row>
    <row r="61" spans="1:16" s="1" customFormat="1" ht="39.75" customHeight="1" x14ac:dyDescent="0.2">
      <c r="A61" s="561">
        <v>4</v>
      </c>
      <c r="B61" s="562" t="s">
        <v>302</v>
      </c>
      <c r="C61" s="566">
        <v>1</v>
      </c>
      <c r="D61" s="561">
        <v>30</v>
      </c>
      <c r="E61" s="563">
        <f t="shared" si="32"/>
        <v>1</v>
      </c>
      <c r="F61" s="567">
        <f t="shared" si="33"/>
        <v>1</v>
      </c>
      <c r="G61" s="645"/>
      <c r="H61" s="564">
        <f t="shared" si="35"/>
        <v>0</v>
      </c>
      <c r="I61" s="564">
        <f t="shared" si="34"/>
        <v>0</v>
      </c>
      <c r="J61" s="565">
        <f t="shared" si="36"/>
        <v>0</v>
      </c>
      <c r="L61" s="543">
        <v>194.95</v>
      </c>
      <c r="M61" s="543">
        <v>195</v>
      </c>
      <c r="N61" s="543">
        <v>175</v>
      </c>
      <c r="O61" s="544">
        <f>ROUND((IF(AND(L61="",M61="",N61="")=TRUE,0,AVERAGE(L61:N61))),2)</f>
        <v>188.32</v>
      </c>
      <c r="P61" s="542" t="s">
        <v>426</v>
      </c>
    </row>
    <row r="62" spans="1:16" s="1" customFormat="1" ht="18" customHeight="1" x14ac:dyDescent="0.2">
      <c r="A62" s="448">
        <v>5</v>
      </c>
      <c r="B62" s="646" t="s">
        <v>303</v>
      </c>
      <c r="C62" s="647"/>
      <c r="D62" s="647"/>
      <c r="E62" s="563">
        <f t="shared" si="32"/>
        <v>0</v>
      </c>
      <c r="F62" s="567">
        <f t="shared" si="33"/>
        <v>0</v>
      </c>
      <c r="G62" s="645"/>
      <c r="H62" s="564">
        <f t="shared" si="35"/>
        <v>0</v>
      </c>
      <c r="I62" s="564">
        <f t="shared" si="34"/>
        <v>0</v>
      </c>
      <c r="J62" s="565">
        <f t="shared" si="36"/>
        <v>0</v>
      </c>
      <c r="L62" s="543"/>
      <c r="M62" s="543"/>
      <c r="N62" s="543"/>
      <c r="O62" s="544"/>
      <c r="P62" s="542"/>
    </row>
    <row r="63" spans="1:16" s="1" customFormat="1" ht="18" customHeight="1" x14ac:dyDescent="0.2">
      <c r="A63" s="448">
        <v>6</v>
      </c>
      <c r="B63" s="646" t="s">
        <v>303</v>
      </c>
      <c r="C63" s="647"/>
      <c r="D63" s="647"/>
      <c r="E63" s="563">
        <f>IFERROR($C$12/D63,0)</f>
        <v>0</v>
      </c>
      <c r="F63" s="567">
        <f t="shared" si="33"/>
        <v>0</v>
      </c>
      <c r="G63" s="645"/>
      <c r="H63" s="564">
        <f t="shared" si="35"/>
        <v>0</v>
      </c>
      <c r="I63" s="564">
        <f t="shared" si="34"/>
        <v>0</v>
      </c>
      <c r="J63" s="565">
        <f t="shared" si="36"/>
        <v>0</v>
      </c>
      <c r="L63" s="543"/>
      <c r="M63" s="543"/>
      <c r="N63" s="543"/>
      <c r="O63" s="544"/>
      <c r="P63" s="542"/>
    </row>
    <row r="64" spans="1:16" s="1" customFormat="1" ht="18" customHeight="1" x14ac:dyDescent="0.2">
      <c r="A64" s="444"/>
      <c r="B64" s="450"/>
      <c r="C64" s="449"/>
      <c r="D64" s="449"/>
      <c r="E64" s="451"/>
      <c r="F64" s="451"/>
      <c r="G64" s="452"/>
      <c r="H64" s="445"/>
      <c r="I64" s="445"/>
      <c r="J64" s="392">
        <f>SUM(J58:J63)</f>
        <v>0</v>
      </c>
      <c r="L64" s="550"/>
      <c r="M64" s="550"/>
      <c r="N64" s="550"/>
      <c r="O64" s="551"/>
      <c r="P64" s="547"/>
    </row>
    <row r="65" spans="1:16" ht="18" customHeight="1" thickBot="1" x14ac:dyDescent="0.25">
      <c r="A65" s="336"/>
      <c r="B65" s="336"/>
      <c r="C65" s="55"/>
      <c r="D65" s="383"/>
      <c r="E65" s="55"/>
      <c r="F65" s="337"/>
      <c r="G65" s="383"/>
      <c r="H65" s="383"/>
      <c r="I65" s="383"/>
      <c r="J65" s="384"/>
      <c r="K65" s="79"/>
      <c r="L65" s="552"/>
      <c r="M65" s="552"/>
      <c r="N65" s="552"/>
      <c r="O65" s="553"/>
    </row>
    <row r="66" spans="1:16" ht="20.100000000000001" customHeight="1" thickBot="1" x14ac:dyDescent="0.25">
      <c r="A66" s="339"/>
      <c r="B66" s="339"/>
      <c r="C66" s="900" t="s">
        <v>304</v>
      </c>
      <c r="D66" s="900"/>
      <c r="E66" s="900"/>
      <c r="F66" s="900"/>
      <c r="G66" s="900"/>
      <c r="H66" s="900"/>
      <c r="I66" s="900"/>
      <c r="J66" s="343">
        <f>J64</f>
        <v>0</v>
      </c>
      <c r="K66" s="55"/>
      <c r="O66" s="545"/>
    </row>
    <row r="67" spans="1:16" ht="20.100000000000001" customHeight="1" x14ac:dyDescent="0.2">
      <c r="A67" s="339"/>
      <c r="B67" s="339"/>
      <c r="C67" s="453"/>
      <c r="D67" s="453"/>
      <c r="E67" s="453"/>
      <c r="F67" s="453"/>
      <c r="G67" s="453"/>
      <c r="H67" s="453"/>
      <c r="I67" s="453"/>
      <c r="J67" s="454"/>
      <c r="K67" s="55"/>
      <c r="O67" s="545"/>
    </row>
    <row r="68" spans="1:16" ht="30" customHeight="1" thickBot="1" x14ac:dyDescent="0.3">
      <c r="A68" s="375" t="s">
        <v>273</v>
      </c>
      <c r="B68" s="375"/>
      <c r="C68" s="50"/>
      <c r="D68" s="393"/>
      <c r="E68" s="393"/>
      <c r="F68" s="393"/>
      <c r="G68" s="393"/>
      <c r="H68" s="393"/>
      <c r="I68" s="393"/>
      <c r="J68" s="393"/>
      <c r="K68" s="55"/>
      <c r="L68" s="381"/>
      <c r="M68" s="381"/>
      <c r="N68" s="381"/>
      <c r="O68" s="381"/>
    </row>
    <row r="69" spans="1:16" s="333" customFormat="1" ht="45" customHeight="1" thickTop="1" x14ac:dyDescent="0.2">
      <c r="A69" s="332" t="s">
        <v>8</v>
      </c>
      <c r="B69" s="933" t="s">
        <v>190</v>
      </c>
      <c r="C69" s="934"/>
      <c r="D69" s="394" t="s">
        <v>236</v>
      </c>
      <c r="E69" s="396"/>
      <c r="F69" s="395"/>
      <c r="G69" s="395"/>
      <c r="H69" s="395"/>
      <c r="I69" s="395"/>
      <c r="J69" s="395"/>
      <c r="K69" s="285"/>
      <c r="L69" s="377" t="s">
        <v>262</v>
      </c>
      <c r="M69" s="377" t="s">
        <v>263</v>
      </c>
      <c r="N69" s="377" t="s">
        <v>264</v>
      </c>
      <c r="O69" s="377" t="s">
        <v>265</v>
      </c>
      <c r="P69" s="545"/>
    </row>
    <row r="70" spans="1:16" ht="32.1" customHeight="1" x14ac:dyDescent="0.2">
      <c r="A70" s="379">
        <v>1</v>
      </c>
      <c r="B70" s="929" t="s">
        <v>316</v>
      </c>
      <c r="C70" s="930"/>
      <c r="D70" s="639"/>
      <c r="E70" s="397"/>
      <c r="F70" s="398"/>
      <c r="G70" s="399"/>
      <c r="H70" s="400"/>
      <c r="I70" s="401"/>
      <c r="J70" s="342"/>
      <c r="K70" s="55"/>
      <c r="L70" s="543">
        <v>150</v>
      </c>
      <c r="M70" s="543">
        <v>50</v>
      </c>
      <c r="N70" s="568"/>
      <c r="O70" s="544">
        <f>ROUND((IF(AND(L70="",M70="",N70="")=TRUE,0,AVERAGE(L70:N70))),2)</f>
        <v>100</v>
      </c>
    </row>
    <row r="71" spans="1:16" ht="18" customHeight="1" x14ac:dyDescent="0.2">
      <c r="A71" s="931" t="s">
        <v>443</v>
      </c>
      <c r="B71" s="931"/>
      <c r="C71" s="340"/>
      <c r="D71" s="605"/>
      <c r="E71" s="605"/>
      <c r="F71" s="605"/>
      <c r="G71" s="55"/>
      <c r="H71" s="371"/>
      <c r="I71" s="371"/>
      <c r="J71" s="384"/>
      <c r="K71" s="55"/>
      <c r="O71" s="545"/>
    </row>
    <row r="72" spans="1:16" ht="18" customHeight="1" x14ac:dyDescent="0.2">
      <c r="A72" s="336"/>
      <c r="B72" s="336"/>
      <c r="C72" s="55"/>
      <c r="D72" s="383"/>
      <c r="E72" s="395"/>
      <c r="F72" s="337"/>
      <c r="G72" s="383"/>
      <c r="H72" s="383"/>
      <c r="I72" s="383"/>
      <c r="J72" s="384"/>
      <c r="K72" s="79"/>
      <c r="L72" s="338"/>
      <c r="M72" s="338"/>
      <c r="N72" s="338"/>
      <c r="O72" s="385"/>
    </row>
    <row r="73" spans="1:16" s="1" customFormat="1" ht="30" customHeight="1" thickBot="1" x14ac:dyDescent="0.3">
      <c r="A73" s="932" t="s">
        <v>241</v>
      </c>
      <c r="B73" s="932"/>
      <c r="C73" s="932"/>
      <c r="D73" s="932"/>
      <c r="E73" s="932"/>
      <c r="F73" s="402"/>
      <c r="G73" s="402"/>
      <c r="H73" s="402"/>
      <c r="I73" s="402"/>
      <c r="J73" s="402"/>
      <c r="K73" s="403"/>
      <c r="L73" s="260"/>
      <c r="M73" s="260"/>
      <c r="N73" s="260"/>
      <c r="O73" s="260"/>
      <c r="P73" s="260"/>
    </row>
    <row r="74" spans="1:16" s="1" customFormat="1" ht="16.5" thickTop="1" x14ac:dyDescent="0.25">
      <c r="A74" s="344"/>
      <c r="B74" s="344"/>
      <c r="C74" s="344"/>
      <c r="D74" s="344"/>
      <c r="E74" s="344"/>
      <c r="F74" s="73"/>
      <c r="G74" s="73"/>
      <c r="H74" s="73"/>
      <c r="I74" s="73"/>
      <c r="J74" s="73"/>
      <c r="K74" s="73"/>
      <c r="L74" s="260"/>
      <c r="M74" s="260"/>
      <c r="N74" s="260"/>
      <c r="O74" s="260"/>
      <c r="P74" s="260"/>
    </row>
    <row r="75" spans="1:16" s="1" customFormat="1" ht="30" customHeight="1" x14ac:dyDescent="0.2">
      <c r="A75" s="350" t="s">
        <v>242</v>
      </c>
      <c r="B75" s="928" t="s">
        <v>434</v>
      </c>
      <c r="C75" s="928"/>
      <c r="D75" s="928"/>
      <c r="E75" s="928"/>
      <c r="F75" s="925" t="s">
        <v>251</v>
      </c>
      <c r="G75" s="926"/>
      <c r="H75" s="926"/>
      <c r="I75" s="926"/>
      <c r="J75" s="927"/>
      <c r="K75" s="281"/>
      <c r="L75" s="260"/>
      <c r="M75" s="260"/>
      <c r="N75" s="260"/>
      <c r="O75" s="260"/>
      <c r="P75" s="260"/>
    </row>
    <row r="76" spans="1:16" s="1" customFormat="1" x14ac:dyDescent="0.2">
      <c r="A76" s="351"/>
      <c r="B76" s="352"/>
      <c r="C76" s="353"/>
      <c r="D76" s="352"/>
      <c r="E76" s="352"/>
      <c r="F76" s="55"/>
      <c r="G76" s="55"/>
      <c r="H76" s="55"/>
      <c r="I76" s="55"/>
      <c r="J76" s="55"/>
      <c r="K76" s="55"/>
      <c r="L76" s="260"/>
      <c r="M76" s="260"/>
      <c r="N76" s="260"/>
      <c r="O76" s="260"/>
      <c r="P76" s="260"/>
    </row>
    <row r="77" spans="1:16" ht="12.75" customHeight="1" x14ac:dyDescent="0.2">
      <c r="A77" s="404"/>
      <c r="B77" s="404"/>
      <c r="C77" s="1"/>
      <c r="D77" s="1"/>
      <c r="E77" s="1"/>
      <c r="F77" s="1"/>
      <c r="G77" s="1"/>
      <c r="H77" s="1"/>
      <c r="I77" s="1"/>
      <c r="J77" s="405"/>
      <c r="K77" s="338"/>
      <c r="L77" s="338"/>
      <c r="M77" s="338"/>
      <c r="N77" s="338"/>
      <c r="O77" s="338"/>
    </row>
  </sheetData>
  <sheetProtection algorithmName="SHA-512" hashValue="fqt0pDO6jIU3spcGE4SqXqlj2Vm5yg4MMpsWUlT0ziB45Xq9e2RshjMi/pJsrG9mk1QarqumLk6df4opcJD8fw==" saltValue="Geva/tfAF0mGI/knVclN6Q==" spinCount="100000" sheet="1" objects="1" scenarios="1" selectLockedCells="1"/>
  <mergeCells count="20">
    <mergeCell ref="C26:I26"/>
    <mergeCell ref="C11:D11"/>
    <mergeCell ref="C12:D12"/>
    <mergeCell ref="A1:J1"/>
    <mergeCell ref="A2:J2"/>
    <mergeCell ref="A3:J3"/>
    <mergeCell ref="A6:J6"/>
    <mergeCell ref="A7:J7"/>
    <mergeCell ref="A9:J9"/>
    <mergeCell ref="A56:B56"/>
    <mergeCell ref="C56:D56"/>
    <mergeCell ref="C53:I53"/>
    <mergeCell ref="C52:I52"/>
    <mergeCell ref="F75:J75"/>
    <mergeCell ref="B75:E75"/>
    <mergeCell ref="B70:C70"/>
    <mergeCell ref="A71:B71"/>
    <mergeCell ref="A73:E73"/>
    <mergeCell ref="C66:I66"/>
    <mergeCell ref="B69:C69"/>
  </mergeCells>
  <printOptions horizontalCentered="1" verticalCentered="1"/>
  <pageMargins left="0.51181102362204722" right="0.51181102362204722" top="0.78740157480314965" bottom="0.78740157480314965" header="0.31496062992125984" footer="0.31496062992125984"/>
  <pageSetup paperSize="9" scale="46" orientation="portrait" r:id="rId1"/>
  <headerFooter>
    <oddFooter>&amp;LSACCON/CPC/SECAD&amp;R&amp;A
&amp;P/&amp;N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AMJ107"/>
  <sheetViews>
    <sheetView showGridLines="0" view="pageBreakPreview" zoomScaleSheetLayoutView="100" workbookViewId="0">
      <selection activeCell="D64" sqref="D64"/>
    </sheetView>
  </sheetViews>
  <sheetFormatPr defaultColWidth="11.42578125" defaultRowHeight="12.75" x14ac:dyDescent="0.2"/>
  <cols>
    <col min="1" max="1" width="8.7109375" style="196" customWidth="1"/>
    <col min="2" max="2" width="30.85546875" style="196" customWidth="1"/>
    <col min="3" max="9" width="14.7109375" style="196" customWidth="1"/>
    <col min="10" max="10" width="14.140625" style="195" customWidth="1"/>
    <col min="11" max="14" width="17.140625" style="195" customWidth="1"/>
    <col min="15" max="15" width="19.85546875" style="195" customWidth="1"/>
    <col min="16" max="16" width="17.140625" style="195" customWidth="1"/>
    <col min="17" max="17" width="34.28515625" style="195" customWidth="1"/>
    <col min="18" max="18" width="17.7109375" style="195" customWidth="1"/>
    <col min="19" max="19" width="13.42578125" style="195" customWidth="1"/>
    <col min="20" max="21" width="11.42578125" style="195" customWidth="1"/>
    <col min="22" max="22" width="16.5703125" style="195" customWidth="1"/>
    <col min="23" max="24" width="11.42578125" style="195"/>
    <col min="25" max="16384" width="11.42578125" style="196"/>
  </cols>
  <sheetData>
    <row r="1" spans="1:24" ht="21" customHeight="1" x14ac:dyDescent="0.2">
      <c r="A1" s="971" t="str">
        <f>POSTOS!A1</f>
        <v>TRIBUNAL REGIONAL ELEITORAL DO PARANÁ</v>
      </c>
      <c r="B1" s="971"/>
      <c r="C1" s="971"/>
      <c r="D1" s="971"/>
      <c r="E1" s="971"/>
      <c r="F1" s="971"/>
      <c r="G1" s="971"/>
      <c r="H1" s="971"/>
      <c r="I1" s="971"/>
    </row>
    <row r="2" spans="1:24" ht="15" customHeight="1" x14ac:dyDescent="0.2">
      <c r="A2" s="909" t="str">
        <f>POSTOS!A2</f>
        <v>PLANILHA DE FORMAÇÃO DE CUSTOS E PREÇOS - Proposta Detalhada</v>
      </c>
      <c r="B2" s="909"/>
      <c r="C2" s="909"/>
      <c r="D2" s="909"/>
      <c r="E2" s="909"/>
      <c r="F2" s="909"/>
      <c r="G2" s="909"/>
      <c r="H2" s="909"/>
      <c r="I2" s="909"/>
    </row>
    <row r="3" spans="1:24" ht="15" customHeight="1" x14ac:dyDescent="0.2">
      <c r="A3" s="972" t="str">
        <f>POSTOS!A3</f>
        <v>Apoio Operacional Especializado - Encarregado e Auxiliar de Almoxarifado, e Marceneiro</v>
      </c>
      <c r="B3" s="972"/>
      <c r="C3" s="972"/>
      <c r="D3" s="972"/>
      <c r="E3" s="972"/>
      <c r="F3" s="972"/>
      <c r="G3" s="972"/>
      <c r="H3" s="972"/>
      <c r="I3" s="972"/>
    </row>
    <row r="4" spans="1:24" ht="15" customHeight="1" thickBot="1" x14ac:dyDescent="0.25">
      <c r="A4" s="979"/>
      <c r="B4" s="979"/>
      <c r="C4" s="979"/>
      <c r="D4" s="979"/>
      <c r="E4" s="979"/>
      <c r="F4" s="979"/>
      <c r="G4" s="979"/>
      <c r="H4" s="979"/>
      <c r="I4" s="979"/>
    </row>
    <row r="5" spans="1:24" ht="15" customHeight="1" x14ac:dyDescent="0.2">
      <c r="A5" s="605"/>
      <c r="B5" s="605"/>
      <c r="C5" s="605"/>
      <c r="D5" s="605"/>
      <c r="E5" s="605"/>
      <c r="F5" s="605"/>
      <c r="G5" s="605"/>
      <c r="H5" s="95" t="str">
        <f>POSTOS!N5</f>
        <v>PAD n.:</v>
      </c>
      <c r="I5" s="197" t="str">
        <f>POSTOS!O5</f>
        <v>14148/2023</v>
      </c>
    </row>
    <row r="6" spans="1:24" ht="15" customHeight="1" x14ac:dyDescent="0.2">
      <c r="A6" s="605"/>
      <c r="B6" s="605"/>
      <c r="C6" s="605"/>
      <c r="D6" s="605"/>
      <c r="E6" s="605"/>
      <c r="F6" s="605"/>
      <c r="G6" s="605"/>
      <c r="H6" s="95" t="str">
        <f>POSTOS!N6</f>
        <v>Licitação n.:</v>
      </c>
      <c r="I6" s="198">
        <f>POSTOS!O6</f>
        <v>0</v>
      </c>
    </row>
    <row r="7" spans="1:24" ht="15" customHeight="1" x14ac:dyDescent="0.2">
      <c r="A7" s="605"/>
      <c r="B7" s="605"/>
      <c r="C7" s="605"/>
      <c r="D7" s="605"/>
      <c r="E7" s="605"/>
      <c r="F7" s="605"/>
      <c r="G7" s="605"/>
      <c r="H7" s="95" t="str">
        <f>POSTOS!N7</f>
        <v>Data da Proposta:</v>
      </c>
      <c r="I7" s="199">
        <f>POSTOS!O7</f>
        <v>0</v>
      </c>
    </row>
    <row r="8" spans="1:24" ht="15" customHeight="1" thickBot="1" x14ac:dyDescent="0.25">
      <c r="A8" s="96"/>
      <c r="B8" s="96"/>
      <c r="C8" s="96"/>
      <c r="D8" s="96"/>
      <c r="E8" s="96"/>
      <c r="F8" s="96"/>
      <c r="G8" s="96"/>
      <c r="H8" s="96"/>
      <c r="I8" s="96"/>
    </row>
    <row r="9" spans="1:24" s="73" customFormat="1" ht="15" customHeight="1" x14ac:dyDescent="0.2">
      <c r="A9" s="973" t="str">
        <f>POSTOS!A9</f>
        <v>NOME DA EMPRESA</v>
      </c>
      <c r="B9" s="974"/>
      <c r="C9" s="974"/>
      <c r="D9" s="974"/>
      <c r="E9" s="974"/>
      <c r="F9" s="974"/>
      <c r="G9" s="974"/>
      <c r="H9" s="974"/>
      <c r="I9" s="975"/>
      <c r="J9" s="72"/>
      <c r="K9" s="72"/>
      <c r="L9" s="72"/>
      <c r="M9" s="72"/>
      <c r="N9" s="72"/>
      <c r="O9" s="72"/>
      <c r="P9" s="72"/>
      <c r="Q9" s="72"/>
      <c r="R9" s="72"/>
      <c r="S9" s="72"/>
      <c r="T9" s="72"/>
      <c r="U9" s="72"/>
      <c r="V9" s="72"/>
      <c r="W9" s="72"/>
      <c r="X9" s="72"/>
    </row>
    <row r="10" spans="1:24" s="73" customFormat="1" ht="15" customHeight="1" thickBot="1" x14ac:dyDescent="0.25">
      <c r="A10" s="976" t="str">
        <f>POSTOS!A10</f>
        <v>CNPJ</v>
      </c>
      <c r="B10" s="977"/>
      <c r="C10" s="977"/>
      <c r="D10" s="977"/>
      <c r="E10" s="977"/>
      <c r="F10" s="977"/>
      <c r="G10" s="977"/>
      <c r="H10" s="977"/>
      <c r="I10" s="978"/>
      <c r="J10" s="72"/>
      <c r="K10" s="72"/>
      <c r="L10" s="72"/>
      <c r="M10" s="72"/>
      <c r="N10" s="72"/>
      <c r="O10" s="72"/>
      <c r="P10" s="72"/>
      <c r="Q10" s="72"/>
      <c r="R10" s="72"/>
      <c r="S10" s="72"/>
      <c r="T10" s="72"/>
      <c r="U10" s="72"/>
      <c r="V10" s="72"/>
      <c r="W10" s="72"/>
      <c r="X10" s="72"/>
    </row>
    <row r="11" spans="1:24" s="73" customFormat="1" ht="15" customHeight="1" thickBot="1" x14ac:dyDescent="0.25">
      <c r="A11" s="97"/>
      <c r="B11" s="97"/>
      <c r="C11" s="97"/>
      <c r="D11" s="97"/>
      <c r="E11" s="97"/>
      <c r="F11" s="97"/>
      <c r="G11" s="97"/>
      <c r="H11" s="97"/>
      <c r="I11" s="98"/>
      <c r="J11" s="72"/>
      <c r="K11" s="72"/>
      <c r="L11" s="72"/>
      <c r="M11" s="72"/>
      <c r="N11" s="72"/>
      <c r="O11" s="72"/>
      <c r="P11" s="72"/>
      <c r="Q11" s="72"/>
      <c r="R11" s="72"/>
      <c r="S11" s="72"/>
      <c r="T11" s="72"/>
      <c r="U11" s="72"/>
      <c r="V11" s="72"/>
      <c r="W11" s="72"/>
      <c r="X11" s="72"/>
    </row>
    <row r="12" spans="1:24" s="73" customFormat="1" ht="30" customHeight="1" thickBot="1" x14ac:dyDescent="0.25">
      <c r="A12" s="968" t="s">
        <v>209</v>
      </c>
      <c r="B12" s="969"/>
      <c r="C12" s="969"/>
      <c r="D12" s="969"/>
      <c r="E12" s="969"/>
      <c r="F12" s="969"/>
      <c r="G12" s="969"/>
      <c r="H12" s="969"/>
      <c r="I12" s="970"/>
      <c r="J12" s="72"/>
      <c r="K12" s="72"/>
      <c r="L12" s="72"/>
      <c r="M12" s="72"/>
      <c r="N12" s="72"/>
      <c r="O12" s="72"/>
      <c r="P12" s="72"/>
      <c r="Q12" s="72"/>
      <c r="R12" s="72"/>
      <c r="S12" s="72"/>
      <c r="T12" s="72"/>
      <c r="U12" s="72"/>
      <c r="V12" s="72"/>
      <c r="W12" s="72"/>
      <c r="X12" s="72"/>
    </row>
    <row r="13" spans="1:24" s="73" customFormat="1" ht="15" customHeight="1" x14ac:dyDescent="0.2">
      <c r="A13" s="77"/>
      <c r="B13" s="77"/>
      <c r="C13" s="77"/>
      <c r="D13" s="77"/>
      <c r="E13" s="77"/>
      <c r="F13" s="77"/>
      <c r="G13" s="77"/>
      <c r="H13" s="77"/>
      <c r="I13" s="77"/>
      <c r="J13" s="72"/>
      <c r="K13" s="72"/>
      <c r="L13" s="72"/>
      <c r="M13" s="72"/>
      <c r="N13" s="72"/>
      <c r="O13" s="72"/>
      <c r="P13" s="72"/>
      <c r="Q13" s="72"/>
      <c r="R13" s="72"/>
      <c r="S13" s="72"/>
      <c r="T13" s="72"/>
      <c r="U13" s="72"/>
      <c r="V13" s="72"/>
      <c r="W13" s="72"/>
      <c r="X13" s="72"/>
    </row>
    <row r="14" spans="1:24" s="73" customFormat="1" ht="15" customHeight="1" x14ac:dyDescent="0.2">
      <c r="A14" s="600" t="s">
        <v>8</v>
      </c>
      <c r="B14" s="120" t="s">
        <v>173</v>
      </c>
      <c r="C14" s="600" t="s">
        <v>73</v>
      </c>
      <c r="D14" s="939" t="s">
        <v>172</v>
      </c>
      <c r="E14" s="940"/>
      <c r="F14" s="278" t="s">
        <v>318</v>
      </c>
      <c r="H14" s="278" t="s">
        <v>210</v>
      </c>
      <c r="J14" s="72"/>
      <c r="K14" s="72"/>
      <c r="L14" s="72"/>
      <c r="M14" s="72"/>
      <c r="N14" s="72"/>
      <c r="O14" s="72"/>
      <c r="P14" s="72"/>
      <c r="Q14" s="72"/>
      <c r="R14" s="72"/>
      <c r="S14" s="72"/>
      <c r="T14" s="72"/>
      <c r="U14" s="72"/>
      <c r="V14" s="72"/>
      <c r="W14" s="72"/>
      <c r="X14" s="72"/>
    </row>
    <row r="15" spans="1:24" s="73" customFormat="1" ht="15" customHeight="1" x14ac:dyDescent="0.2">
      <c r="A15" s="601">
        <f>POSTOS!A34</f>
        <v>1</v>
      </c>
      <c r="B15" s="115" t="str">
        <f>POSTOS!B22</f>
        <v>Encarregado de Almoxarifado</v>
      </c>
      <c r="C15" s="273">
        <f>POSTOS!D22</f>
        <v>44</v>
      </c>
      <c r="D15" s="941">
        <f>C15*5</f>
        <v>220</v>
      </c>
      <c r="E15" s="942"/>
      <c r="F15" s="279">
        <f>'ENCARGOS e PROVISOES'!F23/100</f>
        <v>0</v>
      </c>
      <c r="G15" s="487"/>
      <c r="H15" s="279">
        <f>CITL!F17</f>
        <v>0</v>
      </c>
      <c r="J15" s="72"/>
      <c r="K15" s="72"/>
      <c r="L15" s="72"/>
      <c r="M15" s="72"/>
      <c r="N15" s="72"/>
      <c r="O15" s="72"/>
      <c r="P15" s="72"/>
      <c r="Q15" s="72"/>
      <c r="R15" s="72"/>
      <c r="S15" s="72"/>
      <c r="T15" s="72"/>
      <c r="U15" s="72"/>
      <c r="V15" s="72"/>
      <c r="W15" s="72"/>
      <c r="X15" s="72"/>
    </row>
    <row r="16" spans="1:24" s="73" customFormat="1" ht="15" customHeight="1" x14ac:dyDescent="0.2">
      <c r="A16" s="601">
        <f>POSTOS!A35</f>
        <v>2</v>
      </c>
      <c r="B16" s="115" t="str">
        <f>POSTOS!B23</f>
        <v>Auxiliar de Almoxarifado</v>
      </c>
      <c r="C16" s="273">
        <f>POSTOS!D23</f>
        <v>44</v>
      </c>
      <c r="D16" s="943">
        <f t="shared" ref="D16:D17" si="0">C16*5</f>
        <v>220</v>
      </c>
      <c r="E16" s="944"/>
      <c r="F16" s="117"/>
      <c r="G16" s="403"/>
      <c r="H16" s="282"/>
      <c r="I16" s="116"/>
      <c r="J16" s="72"/>
      <c r="K16" s="72"/>
      <c r="L16" s="72"/>
      <c r="M16" s="72"/>
      <c r="N16" s="72"/>
      <c r="O16" s="72"/>
      <c r="P16" s="72"/>
      <c r="Q16" s="72"/>
      <c r="R16" s="72"/>
      <c r="S16" s="72"/>
      <c r="T16" s="72"/>
      <c r="U16" s="72"/>
      <c r="V16" s="72"/>
      <c r="W16" s="72"/>
      <c r="X16" s="72"/>
    </row>
    <row r="17" spans="1:24" s="73" customFormat="1" ht="15" customHeight="1" x14ac:dyDescent="0.2">
      <c r="A17" s="601">
        <f>POSTOS!A36</f>
        <v>3</v>
      </c>
      <c r="B17" s="115" t="str">
        <f>POSTOS!B24</f>
        <v>Marceneiro</v>
      </c>
      <c r="C17" s="273">
        <f>POSTOS!D24</f>
        <v>44</v>
      </c>
      <c r="D17" s="941">
        <f t="shared" si="0"/>
        <v>220</v>
      </c>
      <c r="E17" s="942"/>
      <c r="F17" s="117"/>
      <c r="G17" s="283"/>
      <c r="H17" s="280"/>
      <c r="I17" s="116"/>
      <c r="J17" s="72"/>
      <c r="K17" s="72"/>
      <c r="L17" s="72"/>
      <c r="M17" s="72"/>
      <c r="N17" s="72"/>
      <c r="O17" s="72"/>
      <c r="P17" s="72"/>
      <c r="Q17" s="72"/>
      <c r="R17" s="72"/>
      <c r="S17" s="72"/>
      <c r="T17" s="72"/>
      <c r="U17" s="72"/>
      <c r="V17" s="72"/>
      <c r="W17" s="72"/>
      <c r="X17" s="72"/>
    </row>
    <row r="18" spans="1:24" s="73" customFormat="1" ht="15" customHeight="1" x14ac:dyDescent="0.2">
      <c r="A18" s="274"/>
      <c r="B18" s="275"/>
      <c r="C18" s="276"/>
      <c r="D18" s="276"/>
      <c r="E18" s="276"/>
      <c r="F18" s="277"/>
      <c r="G18" s="77"/>
      <c r="H18" s="604"/>
      <c r="I18" s="116"/>
      <c r="J18" s="72"/>
      <c r="K18" s="72"/>
      <c r="L18" s="72"/>
      <c r="M18" s="72"/>
      <c r="N18" s="72"/>
      <c r="O18" s="72"/>
      <c r="P18" s="72"/>
      <c r="Q18" s="72"/>
      <c r="R18" s="72"/>
      <c r="S18" s="72"/>
      <c r="T18" s="72"/>
      <c r="U18" s="72"/>
      <c r="V18" s="72"/>
      <c r="W18" s="72"/>
      <c r="X18" s="72"/>
    </row>
    <row r="19" spans="1:24" s="73" customFormat="1" ht="15" customHeight="1" x14ac:dyDescent="0.2">
      <c r="G19" s="77"/>
      <c r="H19" s="99"/>
      <c r="I19" s="100"/>
      <c r="J19" s="72"/>
      <c r="K19" s="72"/>
      <c r="L19" s="72"/>
      <c r="M19" s="72"/>
      <c r="N19" s="72"/>
      <c r="O19" s="72"/>
      <c r="P19" s="72"/>
      <c r="Q19" s="72"/>
      <c r="R19" s="72"/>
      <c r="S19" s="72"/>
      <c r="T19" s="72"/>
      <c r="U19" s="72"/>
      <c r="V19" s="72"/>
      <c r="W19" s="72"/>
      <c r="X19" s="72"/>
    </row>
    <row r="20" spans="1:24" s="73" customFormat="1" ht="15" customHeight="1" thickBot="1" x14ac:dyDescent="0.3">
      <c r="A20" s="948" t="s">
        <v>54</v>
      </c>
      <c r="B20" s="948"/>
      <c r="C20" s="948"/>
      <c r="D20" s="948"/>
      <c r="E20" s="948"/>
      <c r="F20" s="948"/>
      <c r="G20" s="948"/>
      <c r="H20" s="948"/>
      <c r="I20" s="948"/>
      <c r="J20" s="200"/>
      <c r="K20" s="200"/>
      <c r="L20" s="200"/>
      <c r="M20" s="200"/>
      <c r="N20" s="200"/>
      <c r="O20" s="200"/>
      <c r="P20" s="200"/>
      <c r="Q20" s="71"/>
      <c r="R20" s="72"/>
      <c r="S20" s="72"/>
      <c r="T20" s="72"/>
      <c r="U20" s="72"/>
      <c r="V20" s="72"/>
      <c r="W20" s="72"/>
      <c r="X20" s="72"/>
    </row>
    <row r="21" spans="1:24" s="73" customFormat="1" ht="64.5" customHeight="1" thickTop="1" x14ac:dyDescent="0.2">
      <c r="A21" s="953" t="str">
        <f>A14</f>
        <v>Item</v>
      </c>
      <c r="B21" s="953" t="str">
        <f>B14</f>
        <v>Posto de Trabalho</v>
      </c>
      <c r="C21" s="954" t="s">
        <v>5</v>
      </c>
      <c r="D21" s="951" t="s">
        <v>319</v>
      </c>
      <c r="E21" s="245" t="s">
        <v>14</v>
      </c>
      <c r="F21" s="245" t="s">
        <v>12</v>
      </c>
      <c r="G21" s="949" t="s">
        <v>9</v>
      </c>
      <c r="H21" s="602" t="s">
        <v>27</v>
      </c>
      <c r="I21" s="951" t="s">
        <v>56</v>
      </c>
      <c r="J21" s="200"/>
      <c r="K21" s="200"/>
      <c r="L21" s="200"/>
      <c r="M21" s="200"/>
      <c r="N21" s="200"/>
      <c r="O21" s="200"/>
      <c r="P21" s="200"/>
      <c r="Q21" s="71"/>
      <c r="R21" s="71"/>
      <c r="S21" s="72"/>
      <c r="T21" s="72"/>
      <c r="U21" s="72"/>
      <c r="V21" s="72"/>
      <c r="W21" s="72"/>
      <c r="X21" s="72"/>
    </row>
    <row r="22" spans="1:24" s="73" customFormat="1" ht="15" customHeight="1" x14ac:dyDescent="0.2">
      <c r="A22" s="953"/>
      <c r="B22" s="953"/>
      <c r="C22" s="955"/>
      <c r="D22" s="952"/>
      <c r="E22" s="101">
        <v>0.2</v>
      </c>
      <c r="F22" s="101">
        <f>F15</f>
        <v>0</v>
      </c>
      <c r="G22" s="950"/>
      <c r="H22" s="486">
        <f>H15</f>
        <v>0</v>
      </c>
      <c r="I22" s="952"/>
      <c r="J22" s="200"/>
      <c r="K22" s="200"/>
      <c r="L22" s="200"/>
      <c r="M22" s="200"/>
      <c r="N22" s="200"/>
      <c r="O22" s="200"/>
      <c r="P22" s="200"/>
      <c r="Q22" s="71"/>
      <c r="R22" s="71"/>
      <c r="S22" s="72"/>
      <c r="T22" s="72"/>
      <c r="U22" s="72"/>
      <c r="V22" s="72"/>
      <c r="W22" s="72"/>
      <c r="X22" s="72"/>
    </row>
    <row r="23" spans="1:24" s="73" customFormat="1" ht="15" customHeight="1" x14ac:dyDescent="0.2">
      <c r="A23" s="118">
        <f>A15</f>
        <v>1</v>
      </c>
      <c r="B23" s="119" t="str">
        <f>B15</f>
        <v>Encarregado de Almoxarifado</v>
      </c>
      <c r="C23" s="102">
        <f>POSTOS!$G$22</f>
        <v>0</v>
      </c>
      <c r="D23" s="102">
        <f>(C23/D15)*1.5</f>
        <v>0</v>
      </c>
      <c r="E23" s="102">
        <f>D23*$E$22</f>
        <v>0</v>
      </c>
      <c r="F23" s="102">
        <f t="shared" ref="F23:F25" si="1">(D23+E23)*$F$22</f>
        <v>0</v>
      </c>
      <c r="G23" s="102">
        <f t="shared" ref="G23:G25" si="2">D23+E23+F23</f>
        <v>0</v>
      </c>
      <c r="H23" s="102">
        <f>G23*$H$15</f>
        <v>0</v>
      </c>
      <c r="I23" s="121">
        <f t="shared" ref="I23:I25" si="3">ROUND((G23+H23),2)</f>
        <v>0</v>
      </c>
      <c r="J23" s="284"/>
      <c r="K23" s="200"/>
      <c r="L23" s="200"/>
      <c r="M23" s="200"/>
      <c r="N23" s="200"/>
      <c r="O23" s="200"/>
      <c r="P23" s="200"/>
      <c r="Q23" s="71"/>
      <c r="R23" s="71"/>
      <c r="S23" s="72"/>
      <c r="T23" s="72"/>
      <c r="U23" s="72"/>
      <c r="V23" s="72"/>
      <c r="W23" s="72"/>
      <c r="X23" s="72"/>
    </row>
    <row r="24" spans="1:24" s="73" customFormat="1" ht="15" customHeight="1" x14ac:dyDescent="0.2">
      <c r="A24" s="118">
        <f t="shared" ref="A24:B25" si="4">A16</f>
        <v>2</v>
      </c>
      <c r="B24" s="119" t="str">
        <f t="shared" si="4"/>
        <v>Auxiliar de Almoxarifado</v>
      </c>
      <c r="C24" s="102">
        <f>POSTOS!$G$23</f>
        <v>0</v>
      </c>
      <c r="D24" s="102">
        <f t="shared" ref="D24:D25" si="5">(C24/D16)*1.5</f>
        <v>0</v>
      </c>
      <c r="E24" s="102">
        <f t="shared" ref="E24:E25" si="6">D24*$E$22</f>
        <v>0</v>
      </c>
      <c r="F24" s="102">
        <f t="shared" si="1"/>
        <v>0</v>
      </c>
      <c r="G24" s="102">
        <f t="shared" si="2"/>
        <v>0</v>
      </c>
      <c r="H24" s="102">
        <f>G24*$H$15</f>
        <v>0</v>
      </c>
      <c r="I24" s="121">
        <f t="shared" si="3"/>
        <v>0</v>
      </c>
      <c r="J24" s="284"/>
      <c r="K24" s="200"/>
      <c r="L24" s="200"/>
      <c r="M24" s="200"/>
      <c r="N24" s="200"/>
      <c r="O24" s="200"/>
      <c r="P24" s="200"/>
      <c r="Q24" s="71"/>
      <c r="R24" s="71"/>
      <c r="S24" s="72"/>
      <c r="T24" s="72"/>
      <c r="U24" s="72"/>
      <c r="V24" s="72"/>
      <c r="W24" s="72"/>
      <c r="X24" s="72"/>
    </row>
    <row r="25" spans="1:24" s="73" customFormat="1" ht="15" customHeight="1" x14ac:dyDescent="0.2">
      <c r="A25" s="118">
        <f t="shared" si="4"/>
        <v>3</v>
      </c>
      <c r="B25" s="119" t="str">
        <f t="shared" si="4"/>
        <v>Marceneiro</v>
      </c>
      <c r="C25" s="102">
        <f>POSTOS!$G$24</f>
        <v>0</v>
      </c>
      <c r="D25" s="102">
        <f t="shared" si="5"/>
        <v>0</v>
      </c>
      <c r="E25" s="102">
        <f t="shared" si="6"/>
        <v>0</v>
      </c>
      <c r="F25" s="102">
        <f t="shared" si="1"/>
        <v>0</v>
      </c>
      <c r="G25" s="102">
        <f t="shared" si="2"/>
        <v>0</v>
      </c>
      <c r="H25" s="102">
        <f>G25*$H$15</f>
        <v>0</v>
      </c>
      <c r="I25" s="121">
        <f t="shared" si="3"/>
        <v>0</v>
      </c>
      <c r="J25" s="284"/>
      <c r="K25" s="200"/>
      <c r="L25" s="200"/>
      <c r="M25" s="200"/>
      <c r="N25" s="200"/>
      <c r="O25" s="200"/>
      <c r="P25" s="200"/>
      <c r="Q25" s="71"/>
      <c r="R25" s="71"/>
      <c r="S25" s="72"/>
      <c r="T25" s="72"/>
      <c r="U25" s="72"/>
      <c r="V25" s="72"/>
      <c r="W25" s="72"/>
      <c r="X25" s="72"/>
    </row>
    <row r="26" spans="1:24" s="73" customFormat="1" ht="15" customHeight="1" x14ac:dyDescent="0.2">
      <c r="A26" s="290"/>
      <c r="B26" s="291"/>
      <c r="C26" s="292"/>
      <c r="D26" s="292"/>
      <c r="E26" s="292"/>
      <c r="F26" s="292"/>
      <c r="G26" s="292"/>
      <c r="H26" s="292"/>
      <c r="I26" s="293"/>
      <c r="J26" s="284"/>
      <c r="K26" s="200"/>
      <c r="L26" s="200"/>
      <c r="M26" s="200"/>
      <c r="N26" s="200"/>
      <c r="O26" s="200"/>
      <c r="P26" s="200"/>
      <c r="Q26" s="71"/>
      <c r="R26" s="71"/>
      <c r="S26" s="72"/>
      <c r="T26" s="72"/>
      <c r="U26" s="72"/>
      <c r="V26" s="72"/>
      <c r="W26" s="72"/>
      <c r="X26" s="72"/>
    </row>
    <row r="27" spans="1:24" s="73" customFormat="1" ht="15" customHeight="1" thickBot="1" x14ac:dyDescent="0.3">
      <c r="A27" s="948" t="s">
        <v>55</v>
      </c>
      <c r="B27" s="948"/>
      <c r="C27" s="948"/>
      <c r="D27" s="948"/>
      <c r="E27" s="948"/>
      <c r="F27" s="948"/>
      <c r="G27" s="948"/>
      <c r="H27" s="948"/>
      <c r="I27" s="948"/>
      <c r="J27" s="200"/>
      <c r="K27" s="200"/>
      <c r="L27" s="200"/>
      <c r="M27" s="200"/>
      <c r="N27" s="200"/>
      <c r="O27" s="200"/>
      <c r="P27" s="200"/>
      <c r="Q27" s="71"/>
      <c r="R27" s="71"/>
      <c r="S27" s="72"/>
      <c r="T27" s="72"/>
      <c r="U27" s="72"/>
      <c r="V27" s="72"/>
      <c r="W27" s="72"/>
      <c r="X27" s="72"/>
    </row>
    <row r="28" spans="1:24" s="73" customFormat="1" ht="64.5" customHeight="1" thickTop="1" x14ac:dyDescent="0.2">
      <c r="A28" s="953" t="str">
        <f>A14</f>
        <v>Item</v>
      </c>
      <c r="B28" s="953" t="str">
        <f>B14</f>
        <v>Posto de Trabalho</v>
      </c>
      <c r="C28" s="954" t="s">
        <v>5</v>
      </c>
      <c r="D28" s="951" t="s">
        <v>320</v>
      </c>
      <c r="E28" s="245" t="s">
        <v>14</v>
      </c>
      <c r="F28" s="245" t="s">
        <v>12</v>
      </c>
      <c r="G28" s="949" t="s">
        <v>9</v>
      </c>
      <c r="H28" s="602" t="s">
        <v>27</v>
      </c>
      <c r="I28" s="951" t="s">
        <v>321</v>
      </c>
      <c r="J28" s="200"/>
      <c r="K28" s="200"/>
      <c r="L28" s="200"/>
      <c r="M28" s="200"/>
      <c r="N28" s="200"/>
      <c r="O28" s="200"/>
      <c r="P28" s="200"/>
      <c r="Q28" s="71"/>
      <c r="R28" s="71"/>
      <c r="S28" s="72"/>
      <c r="T28" s="72"/>
      <c r="U28" s="72"/>
      <c r="V28" s="72"/>
      <c r="W28" s="72"/>
      <c r="X28" s="72"/>
    </row>
    <row r="29" spans="1:24" s="73" customFormat="1" ht="15" customHeight="1" x14ac:dyDescent="0.2">
      <c r="A29" s="953"/>
      <c r="B29" s="953"/>
      <c r="C29" s="955"/>
      <c r="D29" s="952"/>
      <c r="E29" s="101">
        <v>0.2</v>
      </c>
      <c r="F29" s="101">
        <f>F15</f>
        <v>0</v>
      </c>
      <c r="G29" s="950"/>
      <c r="H29" s="486">
        <f>H15</f>
        <v>0</v>
      </c>
      <c r="I29" s="952"/>
      <c r="J29" s="200"/>
      <c r="K29" s="200"/>
      <c r="L29" s="200"/>
      <c r="M29" s="200"/>
      <c r="N29" s="200"/>
      <c r="O29" s="200"/>
      <c r="P29" s="200"/>
      <c r="Q29" s="71"/>
      <c r="R29" s="71"/>
      <c r="S29" s="72"/>
      <c r="T29" s="72"/>
      <c r="U29" s="72"/>
      <c r="V29" s="72"/>
      <c r="W29" s="72"/>
      <c r="X29" s="72"/>
    </row>
    <row r="30" spans="1:24" s="73" customFormat="1" ht="15" customHeight="1" x14ac:dyDescent="0.2">
      <c r="A30" s="118">
        <f>$A$15</f>
        <v>1</v>
      </c>
      <c r="B30" s="119" t="str">
        <f>$B$15</f>
        <v>Encarregado de Almoxarifado</v>
      </c>
      <c r="C30" s="102">
        <f>POSTOS!$G$22</f>
        <v>0</v>
      </c>
      <c r="D30" s="103">
        <f>(C30/(D15))*2</f>
        <v>0</v>
      </c>
      <c r="E30" s="103">
        <f t="shared" ref="E30:E32" si="7">D30*$E$29</f>
        <v>0</v>
      </c>
      <c r="F30" s="102">
        <f>(D30+E30)*$F$29</f>
        <v>0</v>
      </c>
      <c r="G30" s="102">
        <f t="shared" ref="G30:G32" si="8">D30+E30+F30</f>
        <v>0</v>
      </c>
      <c r="H30" s="102">
        <f>G30*$H$15</f>
        <v>0</v>
      </c>
      <c r="I30" s="121">
        <f t="shared" ref="I30:I32" si="9">ROUND((G30+H30),2)</f>
        <v>0</v>
      </c>
      <c r="J30" s="284"/>
      <c r="K30" s="200"/>
      <c r="L30" s="200"/>
      <c r="M30" s="200"/>
      <c r="N30" s="200"/>
      <c r="O30" s="200"/>
      <c r="P30" s="200"/>
      <c r="Q30" s="71"/>
      <c r="R30" s="71"/>
      <c r="S30" s="72"/>
      <c r="T30" s="72"/>
      <c r="U30" s="72"/>
      <c r="V30" s="72"/>
      <c r="W30" s="72"/>
      <c r="X30" s="72"/>
    </row>
    <row r="31" spans="1:24" s="73" customFormat="1" ht="15" customHeight="1" x14ac:dyDescent="0.2">
      <c r="A31" s="118">
        <f>$A$16</f>
        <v>2</v>
      </c>
      <c r="B31" s="119" t="str">
        <f>$B$16</f>
        <v>Auxiliar de Almoxarifado</v>
      </c>
      <c r="C31" s="102">
        <f>POSTOS!$G$23</f>
        <v>0</v>
      </c>
      <c r="D31" s="103">
        <f>(C31/(D16))*2</f>
        <v>0</v>
      </c>
      <c r="E31" s="103">
        <f t="shared" si="7"/>
        <v>0</v>
      </c>
      <c r="F31" s="102">
        <f t="shared" ref="F31:F32" si="10">(D31+E31)*$F$29</f>
        <v>0</v>
      </c>
      <c r="G31" s="102">
        <f t="shared" si="8"/>
        <v>0</v>
      </c>
      <c r="H31" s="102">
        <f>G31*$H$15</f>
        <v>0</v>
      </c>
      <c r="I31" s="121">
        <f t="shared" si="9"/>
        <v>0</v>
      </c>
      <c r="J31" s="284"/>
      <c r="K31" s="200"/>
      <c r="L31" s="200"/>
      <c r="M31" s="200"/>
      <c r="N31" s="200"/>
      <c r="O31" s="200"/>
      <c r="P31" s="200"/>
      <c r="Q31" s="71"/>
      <c r="R31" s="71"/>
      <c r="S31" s="72"/>
      <c r="T31" s="72"/>
      <c r="U31" s="72"/>
      <c r="V31" s="72"/>
      <c r="W31" s="72"/>
      <c r="X31" s="72"/>
    </row>
    <row r="32" spans="1:24" s="73" customFormat="1" ht="15" customHeight="1" x14ac:dyDescent="0.2">
      <c r="A32" s="118">
        <f>$A$17</f>
        <v>3</v>
      </c>
      <c r="B32" s="119" t="str">
        <f>$B$17</f>
        <v>Marceneiro</v>
      </c>
      <c r="C32" s="102">
        <f>POSTOS!$G$24</f>
        <v>0</v>
      </c>
      <c r="D32" s="103">
        <f>(C32/(D17))*2</f>
        <v>0</v>
      </c>
      <c r="E32" s="103">
        <f t="shared" si="7"/>
        <v>0</v>
      </c>
      <c r="F32" s="102">
        <f t="shared" si="10"/>
        <v>0</v>
      </c>
      <c r="G32" s="102">
        <f t="shared" si="8"/>
        <v>0</v>
      </c>
      <c r="H32" s="102">
        <f>G32*$H$15</f>
        <v>0</v>
      </c>
      <c r="I32" s="121">
        <f t="shared" si="9"/>
        <v>0</v>
      </c>
      <c r="J32" s="284"/>
      <c r="K32" s="200"/>
      <c r="L32" s="200"/>
      <c r="M32" s="200"/>
      <c r="N32" s="200"/>
      <c r="O32" s="200"/>
      <c r="P32" s="200"/>
      <c r="Q32" s="71"/>
      <c r="R32" s="71"/>
      <c r="S32" s="72"/>
      <c r="T32" s="72"/>
      <c r="U32" s="72"/>
      <c r="V32" s="72"/>
      <c r="W32" s="72"/>
      <c r="X32" s="72"/>
    </row>
    <row r="33" spans="1:24" s="73" customFormat="1" ht="15" customHeight="1" x14ac:dyDescent="0.2">
      <c r="A33" s="105"/>
      <c r="B33" s="106"/>
      <c r="C33" s="107"/>
      <c r="D33" s="107"/>
      <c r="E33" s="107"/>
      <c r="F33" s="108"/>
      <c r="G33" s="108"/>
      <c r="H33" s="108"/>
      <c r="I33" s="109"/>
      <c r="J33" s="200"/>
      <c r="K33" s="200"/>
      <c r="L33" s="200"/>
      <c r="M33" s="200"/>
      <c r="N33" s="200"/>
      <c r="O33" s="200"/>
      <c r="P33" s="200"/>
      <c r="Q33" s="71"/>
      <c r="R33" s="71"/>
      <c r="S33" s="72"/>
      <c r="T33" s="72"/>
      <c r="U33" s="72"/>
      <c r="V33" s="72"/>
      <c r="W33" s="72"/>
      <c r="X33" s="72"/>
    </row>
    <row r="34" spans="1:24" s="73" customFormat="1" ht="15" customHeight="1" thickBot="1" x14ac:dyDescent="0.3">
      <c r="A34" s="985" t="s">
        <v>53</v>
      </c>
      <c r="B34" s="985"/>
      <c r="C34" s="985"/>
      <c r="D34" s="985"/>
      <c r="E34" s="985"/>
      <c r="F34" s="985"/>
      <c r="G34" s="985"/>
      <c r="H34" s="985"/>
      <c r="I34" s="985"/>
      <c r="J34" s="200"/>
      <c r="K34" s="200"/>
      <c r="L34" s="200"/>
      <c r="M34" s="200"/>
      <c r="N34" s="200"/>
      <c r="O34" s="200"/>
      <c r="P34" s="200"/>
      <c r="Q34" s="71"/>
      <c r="R34" s="71"/>
      <c r="S34" s="72"/>
      <c r="T34" s="72"/>
      <c r="U34" s="72"/>
      <c r="V34" s="72"/>
      <c r="W34" s="72"/>
      <c r="X34" s="72"/>
    </row>
    <row r="35" spans="1:24" s="73" customFormat="1" ht="64.5" customHeight="1" thickTop="1" x14ac:dyDescent="0.2">
      <c r="A35" s="966" t="str">
        <f>A14</f>
        <v>Item</v>
      </c>
      <c r="B35" s="966" t="str">
        <f>B14</f>
        <v>Posto de Trabalho</v>
      </c>
      <c r="C35" s="954" t="s">
        <v>5</v>
      </c>
      <c r="D35" s="984" t="s">
        <v>61</v>
      </c>
      <c r="E35" s="606" t="s">
        <v>14</v>
      </c>
      <c r="F35" s="606" t="s">
        <v>12</v>
      </c>
      <c r="G35" s="980" t="s">
        <v>9</v>
      </c>
      <c r="H35" s="607" t="s">
        <v>27</v>
      </c>
      <c r="I35" s="982" t="s">
        <v>57</v>
      </c>
      <c r="J35" s="200"/>
      <c r="K35" s="200"/>
      <c r="L35" s="200"/>
      <c r="M35" s="200"/>
      <c r="N35" s="200"/>
      <c r="O35" s="200"/>
      <c r="P35" s="200"/>
      <c r="Q35" s="71"/>
      <c r="R35" s="71"/>
      <c r="S35" s="72"/>
      <c r="T35" s="72"/>
      <c r="U35" s="72"/>
      <c r="V35" s="72"/>
      <c r="W35" s="72"/>
      <c r="X35" s="72"/>
    </row>
    <row r="36" spans="1:24" s="73" customFormat="1" x14ac:dyDescent="0.2">
      <c r="A36" s="953"/>
      <c r="B36" s="953"/>
      <c r="C36" s="955"/>
      <c r="D36" s="983"/>
      <c r="E36" s="101">
        <v>0.2</v>
      </c>
      <c r="F36" s="101">
        <f>F15</f>
        <v>0</v>
      </c>
      <c r="G36" s="981"/>
      <c r="H36" s="486">
        <f>H15</f>
        <v>0</v>
      </c>
      <c r="I36" s="983"/>
      <c r="J36" s="200"/>
      <c r="K36" s="200"/>
      <c r="L36" s="200"/>
      <c r="M36" s="200"/>
      <c r="N36" s="200"/>
      <c r="O36" s="200"/>
      <c r="P36" s="200"/>
      <c r="Q36" s="71"/>
      <c r="R36" s="71"/>
      <c r="S36" s="72"/>
      <c r="T36" s="72"/>
      <c r="U36" s="72"/>
      <c r="V36" s="72"/>
      <c r="W36" s="72"/>
      <c r="X36" s="72"/>
    </row>
    <row r="37" spans="1:24" s="73" customFormat="1" ht="15" customHeight="1" x14ac:dyDescent="0.2">
      <c r="A37" s="118">
        <f>$A$15</f>
        <v>1</v>
      </c>
      <c r="B37" s="119" t="str">
        <f>$B$15</f>
        <v>Encarregado de Almoxarifado</v>
      </c>
      <c r="C37" s="102">
        <f>POSTOS!$G$22</f>
        <v>0</v>
      </c>
      <c r="D37" s="103">
        <f>((C37/(D15))*1.2)*1.5</f>
        <v>0</v>
      </c>
      <c r="E37" s="103">
        <f t="shared" ref="E37:E39" si="11">D37*$E$36</f>
        <v>0</v>
      </c>
      <c r="F37" s="104">
        <f t="shared" ref="F37:F39" si="12">(D37+E37)*$F$36</f>
        <v>0</v>
      </c>
      <c r="G37" s="102">
        <f t="shared" ref="G37:G39" si="13">D37+E37+F37</f>
        <v>0</v>
      </c>
      <c r="H37" s="102">
        <f>G37*$H$15</f>
        <v>0</v>
      </c>
      <c r="I37" s="121">
        <f t="shared" ref="I37:I39" si="14">ROUND((G37+H37),2)</f>
        <v>0</v>
      </c>
      <c r="J37" s="200"/>
      <c r="K37" s="200"/>
      <c r="L37" s="200"/>
      <c r="M37" s="200"/>
      <c r="N37" s="200"/>
      <c r="O37" s="200"/>
      <c r="P37" s="200"/>
      <c r="Q37" s="71"/>
      <c r="R37" s="71"/>
      <c r="S37" s="72"/>
      <c r="T37" s="72"/>
      <c r="U37" s="72"/>
      <c r="V37" s="72"/>
      <c r="W37" s="72"/>
      <c r="X37" s="72"/>
    </row>
    <row r="38" spans="1:24" s="73" customFormat="1" ht="15" customHeight="1" x14ac:dyDescent="0.2">
      <c r="A38" s="118">
        <f>$A$16</f>
        <v>2</v>
      </c>
      <c r="B38" s="119" t="str">
        <f>$B$16</f>
        <v>Auxiliar de Almoxarifado</v>
      </c>
      <c r="C38" s="102">
        <f>POSTOS!$G$23</f>
        <v>0</v>
      </c>
      <c r="D38" s="103">
        <f t="shared" ref="D38:D39" si="15">((C38/(D16))*1.2)*1.5</f>
        <v>0</v>
      </c>
      <c r="E38" s="103">
        <f t="shared" si="11"/>
        <v>0</v>
      </c>
      <c r="F38" s="104">
        <f t="shared" si="12"/>
        <v>0</v>
      </c>
      <c r="G38" s="102">
        <f t="shared" si="13"/>
        <v>0</v>
      </c>
      <c r="H38" s="102">
        <f t="shared" ref="H38:H39" si="16">G38*$H$15</f>
        <v>0</v>
      </c>
      <c r="I38" s="121">
        <f t="shared" si="14"/>
        <v>0</v>
      </c>
      <c r="J38" s="200"/>
      <c r="K38" s="200"/>
      <c r="L38" s="200"/>
      <c r="M38" s="200"/>
      <c r="N38" s="200"/>
      <c r="O38" s="200"/>
      <c r="P38" s="200"/>
      <c r="Q38" s="71"/>
      <c r="R38" s="71"/>
      <c r="S38" s="72"/>
      <c r="T38" s="72"/>
      <c r="U38" s="72"/>
      <c r="V38" s="72"/>
      <c r="W38" s="72"/>
      <c r="X38" s="72"/>
    </row>
    <row r="39" spans="1:24" s="73" customFormat="1" ht="15" customHeight="1" x14ac:dyDescent="0.2">
      <c r="A39" s="118">
        <f>$A$17</f>
        <v>3</v>
      </c>
      <c r="B39" s="119" t="str">
        <f>$B$17</f>
        <v>Marceneiro</v>
      </c>
      <c r="C39" s="102">
        <f>POSTOS!$G$24</f>
        <v>0</v>
      </c>
      <c r="D39" s="103">
        <f t="shared" si="15"/>
        <v>0</v>
      </c>
      <c r="E39" s="103">
        <f t="shared" si="11"/>
        <v>0</v>
      </c>
      <c r="F39" s="104">
        <f t="shared" si="12"/>
        <v>0</v>
      </c>
      <c r="G39" s="102">
        <f t="shared" si="13"/>
        <v>0</v>
      </c>
      <c r="H39" s="102">
        <f t="shared" si="16"/>
        <v>0</v>
      </c>
      <c r="I39" s="121">
        <f t="shared" si="14"/>
        <v>0</v>
      </c>
      <c r="J39" s="200"/>
      <c r="K39" s="200"/>
      <c r="L39" s="200"/>
      <c r="M39" s="200"/>
      <c r="N39" s="200"/>
      <c r="O39" s="200"/>
      <c r="P39" s="200"/>
      <c r="Q39" s="71"/>
      <c r="R39" s="71"/>
      <c r="S39" s="72"/>
      <c r="T39" s="72"/>
      <c r="U39" s="72"/>
      <c r="V39" s="72"/>
      <c r="W39" s="72"/>
      <c r="X39" s="72"/>
    </row>
    <row r="40" spans="1:24" s="73" customFormat="1" ht="15" customHeight="1" x14ac:dyDescent="0.2">
      <c r="A40" s="105"/>
      <c r="B40" s="106"/>
      <c r="C40" s="107"/>
      <c r="D40" s="107"/>
      <c r="E40" s="107"/>
      <c r="F40" s="108"/>
      <c r="G40" s="108"/>
      <c r="H40" s="108"/>
      <c r="I40" s="109"/>
      <c r="J40" s="200"/>
      <c r="K40" s="200"/>
      <c r="L40" s="200"/>
      <c r="M40" s="200"/>
      <c r="N40" s="200"/>
      <c r="O40" s="200"/>
      <c r="P40" s="200"/>
      <c r="Q40" s="71"/>
      <c r="R40" s="71"/>
      <c r="S40" s="72"/>
      <c r="T40" s="72"/>
      <c r="U40" s="72"/>
      <c r="V40" s="72"/>
      <c r="W40" s="72"/>
      <c r="X40" s="72"/>
    </row>
    <row r="41" spans="1:24" s="73" customFormat="1" ht="15" customHeight="1" thickBot="1" x14ac:dyDescent="0.3">
      <c r="A41" s="985" t="s">
        <v>52</v>
      </c>
      <c r="B41" s="985"/>
      <c r="C41" s="985"/>
      <c r="D41" s="985"/>
      <c r="E41" s="985"/>
      <c r="F41" s="985"/>
      <c r="G41" s="985"/>
      <c r="H41" s="985"/>
      <c r="I41" s="985"/>
      <c r="J41" s="200"/>
      <c r="K41" s="200"/>
      <c r="L41" s="200"/>
      <c r="M41" s="200"/>
      <c r="N41" s="200"/>
      <c r="O41" s="200"/>
      <c r="P41" s="200"/>
      <c r="Q41" s="200"/>
      <c r="R41" s="71"/>
      <c r="S41" s="72"/>
      <c r="T41" s="72"/>
      <c r="U41" s="72"/>
      <c r="V41" s="72"/>
      <c r="W41" s="72"/>
      <c r="X41" s="72"/>
    </row>
    <row r="42" spans="1:24" s="73" customFormat="1" ht="64.5" customHeight="1" thickTop="1" x14ac:dyDescent="0.2">
      <c r="A42" s="966" t="str">
        <f>A14</f>
        <v>Item</v>
      </c>
      <c r="B42" s="966" t="str">
        <f>B14</f>
        <v>Posto de Trabalho</v>
      </c>
      <c r="C42" s="954" t="s">
        <v>5</v>
      </c>
      <c r="D42" s="984" t="s">
        <v>62</v>
      </c>
      <c r="E42" s="606" t="s">
        <v>14</v>
      </c>
      <c r="F42" s="606" t="s">
        <v>12</v>
      </c>
      <c r="G42" s="980" t="s">
        <v>9</v>
      </c>
      <c r="H42" s="607" t="s">
        <v>27</v>
      </c>
      <c r="I42" s="982" t="s">
        <v>58</v>
      </c>
      <c r="J42" s="200"/>
      <c r="K42" s="200"/>
      <c r="L42" s="200"/>
      <c r="M42" s="200"/>
      <c r="N42" s="200"/>
      <c r="O42" s="200"/>
      <c r="P42" s="200"/>
      <c r="Q42" s="200"/>
      <c r="R42" s="71"/>
      <c r="S42" s="72"/>
      <c r="T42" s="72"/>
      <c r="U42" s="72"/>
      <c r="V42" s="72"/>
      <c r="W42" s="72"/>
      <c r="X42" s="72"/>
    </row>
    <row r="43" spans="1:24" s="73" customFormat="1" ht="15" customHeight="1" x14ac:dyDescent="0.2">
      <c r="A43" s="953"/>
      <c r="B43" s="953"/>
      <c r="C43" s="955"/>
      <c r="D43" s="983"/>
      <c r="E43" s="101">
        <v>0.2</v>
      </c>
      <c r="F43" s="101">
        <f>F15</f>
        <v>0</v>
      </c>
      <c r="G43" s="981"/>
      <c r="H43" s="486">
        <f>H15</f>
        <v>0</v>
      </c>
      <c r="I43" s="983"/>
      <c r="J43" s="200"/>
      <c r="K43" s="200"/>
      <c r="L43" s="200"/>
      <c r="M43" s="200"/>
      <c r="N43" s="200"/>
      <c r="O43" s="200"/>
      <c r="P43" s="200"/>
      <c r="Q43" s="200"/>
      <c r="R43" s="71"/>
      <c r="S43" s="72"/>
      <c r="T43" s="72"/>
      <c r="U43" s="72"/>
      <c r="V43" s="72"/>
      <c r="W43" s="72"/>
      <c r="X43" s="72"/>
    </row>
    <row r="44" spans="1:24" s="73" customFormat="1" ht="15" customHeight="1" x14ac:dyDescent="0.2">
      <c r="A44" s="118">
        <f>$A$15</f>
        <v>1</v>
      </c>
      <c r="B44" s="119" t="str">
        <f>$B$15</f>
        <v>Encarregado de Almoxarifado</v>
      </c>
      <c r="C44" s="102">
        <f>POSTOS!$G$22</f>
        <v>0</v>
      </c>
      <c r="D44" s="103">
        <f>((C44/(D15))*1.2)*2</f>
        <v>0</v>
      </c>
      <c r="E44" s="103">
        <f t="shared" ref="E44:E46" si="17">D44*$E$43</f>
        <v>0</v>
      </c>
      <c r="F44" s="104">
        <f t="shared" ref="F44:F46" si="18">(D44+E44)*$F$43</f>
        <v>0</v>
      </c>
      <c r="G44" s="102">
        <f t="shared" ref="G44:G46" si="19">D44+E44+F44</f>
        <v>0</v>
      </c>
      <c r="H44" s="102">
        <f>G44*$H$15</f>
        <v>0</v>
      </c>
      <c r="I44" s="121">
        <f t="shared" ref="I44:I46" si="20">ROUND((G44+H44),2)</f>
        <v>0</v>
      </c>
      <c r="J44" s="200"/>
      <c r="K44" s="200"/>
      <c r="L44" s="200"/>
      <c r="M44" s="200"/>
      <c r="N44" s="200"/>
      <c r="O44" s="200"/>
      <c r="P44" s="200"/>
      <c r="Q44" s="71"/>
      <c r="R44" s="71"/>
      <c r="S44" s="72"/>
      <c r="T44" s="72"/>
      <c r="U44" s="72"/>
      <c r="V44" s="72"/>
      <c r="W44" s="72"/>
      <c r="X44" s="72"/>
    </row>
    <row r="45" spans="1:24" s="73" customFormat="1" ht="15" customHeight="1" x14ac:dyDescent="0.2">
      <c r="A45" s="382">
        <f>$A$16</f>
        <v>2</v>
      </c>
      <c r="B45" s="488" t="str">
        <f>$B$16</f>
        <v>Auxiliar de Almoxarifado</v>
      </c>
      <c r="C45" s="102">
        <f>POSTOS!$G$23</f>
        <v>0</v>
      </c>
      <c r="D45" s="103">
        <f t="shared" ref="D45:D46" si="21">((C45/(D16))*1.2)*2</f>
        <v>0</v>
      </c>
      <c r="E45" s="102">
        <f t="shared" si="17"/>
        <v>0</v>
      </c>
      <c r="F45" s="489">
        <f t="shared" si="18"/>
        <v>0</v>
      </c>
      <c r="G45" s="102">
        <f t="shared" si="19"/>
        <v>0</v>
      </c>
      <c r="H45" s="102">
        <f>G45*$H$15</f>
        <v>0</v>
      </c>
      <c r="I45" s="490">
        <f t="shared" si="20"/>
        <v>0</v>
      </c>
      <c r="J45" s="200"/>
      <c r="K45" s="200"/>
      <c r="L45" s="200"/>
      <c r="M45" s="200"/>
      <c r="N45" s="200"/>
      <c r="O45" s="200"/>
      <c r="P45" s="200"/>
      <c r="Q45" s="71"/>
      <c r="R45" s="71"/>
      <c r="S45" s="72"/>
      <c r="T45" s="72"/>
      <c r="U45" s="72"/>
      <c r="V45" s="72"/>
      <c r="W45" s="72"/>
      <c r="X45" s="72"/>
    </row>
    <row r="46" spans="1:24" s="73" customFormat="1" ht="15" customHeight="1" x14ac:dyDescent="0.2">
      <c r="A46" s="118">
        <f>$A$17</f>
        <v>3</v>
      </c>
      <c r="B46" s="119" t="str">
        <f>$B$17</f>
        <v>Marceneiro</v>
      </c>
      <c r="C46" s="102">
        <f>POSTOS!$G$24</f>
        <v>0</v>
      </c>
      <c r="D46" s="103">
        <f t="shared" si="21"/>
        <v>0</v>
      </c>
      <c r="E46" s="103">
        <f t="shared" si="17"/>
        <v>0</v>
      </c>
      <c r="F46" s="104">
        <f t="shared" si="18"/>
        <v>0</v>
      </c>
      <c r="G46" s="102">
        <f t="shared" si="19"/>
        <v>0</v>
      </c>
      <c r="H46" s="102">
        <f>G46*$H$15</f>
        <v>0</v>
      </c>
      <c r="I46" s="121">
        <f t="shared" si="20"/>
        <v>0</v>
      </c>
      <c r="J46" s="200"/>
      <c r="K46" s="200"/>
      <c r="L46" s="200"/>
      <c r="M46" s="200"/>
      <c r="N46" s="200"/>
      <c r="O46" s="200"/>
      <c r="P46" s="200"/>
      <c r="Q46" s="71"/>
      <c r="R46" s="71"/>
      <c r="S46" s="72"/>
      <c r="T46" s="72"/>
      <c r="U46" s="72"/>
      <c r="V46" s="72"/>
      <c r="W46" s="72"/>
      <c r="X46" s="72"/>
    </row>
    <row r="47" spans="1:24" s="73" customFormat="1" ht="15" customHeight="1" x14ac:dyDescent="0.2">
      <c r="A47" s="105"/>
      <c r="B47" s="106"/>
      <c r="C47" s="107"/>
      <c r="D47" s="107"/>
      <c r="E47" s="107"/>
      <c r="F47" s="108"/>
      <c r="G47" s="108"/>
      <c r="H47" s="108"/>
      <c r="I47" s="109"/>
      <c r="J47" s="200"/>
      <c r="K47" s="200"/>
      <c r="L47" s="200"/>
      <c r="M47" s="200"/>
      <c r="N47" s="200"/>
      <c r="O47" s="200"/>
      <c r="P47" s="200"/>
      <c r="Q47" s="200"/>
      <c r="R47" s="71"/>
      <c r="S47" s="72"/>
      <c r="T47" s="72"/>
      <c r="U47" s="72"/>
      <c r="V47" s="72"/>
      <c r="W47" s="72"/>
      <c r="X47" s="72"/>
    </row>
    <row r="48" spans="1:24" s="55" customFormat="1" ht="15" customHeight="1" thickBot="1" x14ac:dyDescent="0.3">
      <c r="A48" s="957" t="s">
        <v>59</v>
      </c>
      <c r="B48" s="958"/>
      <c r="C48" s="958"/>
      <c r="D48" s="958"/>
      <c r="E48" s="958"/>
      <c r="F48" s="958"/>
      <c r="G48" s="958"/>
      <c r="H48" s="958"/>
      <c r="I48" s="958"/>
    </row>
    <row r="49" spans="1:24" s="55" customFormat="1" ht="15" customHeight="1" thickTop="1" x14ac:dyDescent="0.25">
      <c r="A49" s="495"/>
      <c r="B49" s="496"/>
      <c r="C49" s="496"/>
      <c r="D49" s="496"/>
      <c r="E49" s="496"/>
      <c r="F49" s="494"/>
      <c r="G49" s="494"/>
      <c r="H49" s="494"/>
      <c r="I49" s="494"/>
    </row>
    <row r="50" spans="1:24" s="73" customFormat="1" ht="15" customHeight="1" x14ac:dyDescent="0.2">
      <c r="A50" s="937" t="s">
        <v>161</v>
      </c>
      <c r="B50" s="937"/>
      <c r="C50" s="937"/>
      <c r="D50" s="937"/>
      <c r="E50" s="937"/>
      <c r="F50" s="83"/>
      <c r="G50" s="959"/>
      <c r="H50" s="959"/>
      <c r="I50" s="959"/>
      <c r="J50" s="965"/>
      <c r="K50" s="965"/>
      <c r="L50" s="965"/>
      <c r="M50" s="965"/>
      <c r="N50" s="965"/>
      <c r="O50" s="965"/>
      <c r="P50" s="965"/>
      <c r="Q50" s="965"/>
      <c r="R50" s="71"/>
      <c r="S50" s="72"/>
      <c r="T50" s="72"/>
      <c r="U50" s="72"/>
      <c r="V50" s="72"/>
      <c r="W50" s="72"/>
      <c r="X50" s="72"/>
    </row>
    <row r="51" spans="1:24" s="113" customFormat="1" ht="20.100000000000001" customHeight="1" x14ac:dyDescent="0.2">
      <c r="A51" s="966" t="str">
        <f>A14</f>
        <v>Item</v>
      </c>
      <c r="B51" s="966" t="str">
        <f>B14</f>
        <v>Posto de Trabalho</v>
      </c>
      <c r="C51" s="967" t="s">
        <v>162</v>
      </c>
      <c r="D51" s="967" t="s">
        <v>155</v>
      </c>
      <c r="E51" s="967" t="s">
        <v>163</v>
      </c>
      <c r="F51" s="84"/>
      <c r="G51" s="110"/>
      <c r="H51" s="110"/>
      <c r="I51" s="110"/>
      <c r="J51" s="111"/>
      <c r="K51" s="111"/>
      <c r="L51" s="111"/>
      <c r="M51" s="111"/>
      <c r="N51" s="111"/>
      <c r="O51" s="111"/>
      <c r="P51" s="111"/>
      <c r="Q51" s="111"/>
      <c r="R51" s="112"/>
    </row>
    <row r="52" spans="1:24" s="113" customFormat="1" ht="20.100000000000001" customHeight="1" x14ac:dyDescent="0.2">
      <c r="A52" s="953"/>
      <c r="B52" s="953"/>
      <c r="C52" s="967"/>
      <c r="D52" s="967"/>
      <c r="E52" s="967"/>
      <c r="F52" s="84"/>
      <c r="G52" s="110"/>
      <c r="H52" s="110"/>
      <c r="I52" s="110"/>
      <c r="J52" s="111"/>
      <c r="K52" s="111"/>
      <c r="L52" s="111"/>
      <c r="M52" s="111"/>
      <c r="N52" s="111"/>
      <c r="O52" s="111"/>
      <c r="P52" s="111"/>
      <c r="Q52" s="111"/>
      <c r="R52" s="112"/>
    </row>
    <row r="53" spans="1:24" s="113" customFormat="1" ht="15" customHeight="1" x14ac:dyDescent="0.2">
      <c r="A53" s="286">
        <f t="shared" ref="A53:B55" si="22">A15</f>
        <v>1</v>
      </c>
      <c r="B53" s="287" t="str">
        <f t="shared" si="22"/>
        <v>Encarregado de Almoxarifado</v>
      </c>
      <c r="C53" s="288">
        <f>ROUND(POSTOS!$J$22/21,2)</f>
        <v>0</v>
      </c>
      <c r="D53" s="288">
        <f>C53*$H$15</f>
        <v>0</v>
      </c>
      <c r="E53" s="288">
        <f>ROUND(C53+D53,2)</f>
        <v>0</v>
      </c>
      <c r="F53" s="84"/>
      <c r="G53" s="110"/>
      <c r="H53" s="110"/>
      <c r="I53" s="110"/>
      <c r="J53" s="111"/>
      <c r="K53" s="111"/>
      <c r="L53" s="111"/>
      <c r="M53" s="111"/>
      <c r="N53" s="111"/>
      <c r="O53" s="111"/>
      <c r="P53" s="111"/>
      <c r="Q53" s="111"/>
      <c r="R53" s="112"/>
    </row>
    <row r="54" spans="1:24" s="113" customFormat="1" ht="15" customHeight="1" x14ac:dyDescent="0.2">
      <c r="A54" s="286">
        <f t="shared" si="22"/>
        <v>2</v>
      </c>
      <c r="B54" s="287" t="str">
        <f t="shared" si="22"/>
        <v>Auxiliar de Almoxarifado</v>
      </c>
      <c r="C54" s="288">
        <f>ROUND(POSTOS!$J$22/21,2)</f>
        <v>0</v>
      </c>
      <c r="D54" s="288">
        <f>C54*$H$15</f>
        <v>0</v>
      </c>
      <c r="E54" s="288">
        <f t="shared" ref="E54:E55" si="23">ROUND(C54+D54,2)</f>
        <v>0</v>
      </c>
      <c r="F54" s="84"/>
      <c r="G54" s="110"/>
      <c r="H54" s="110"/>
      <c r="I54" s="110"/>
      <c r="J54" s="111"/>
      <c r="K54" s="111"/>
      <c r="L54" s="111"/>
      <c r="M54" s="111"/>
      <c r="N54" s="111"/>
      <c r="O54" s="111"/>
      <c r="P54" s="111"/>
      <c r="Q54" s="111"/>
      <c r="R54" s="112"/>
    </row>
    <row r="55" spans="1:24" s="113" customFormat="1" ht="15" customHeight="1" x14ac:dyDescent="0.2">
      <c r="A55" s="286">
        <f t="shared" si="22"/>
        <v>3</v>
      </c>
      <c r="B55" s="287" t="str">
        <f t="shared" si="22"/>
        <v>Marceneiro</v>
      </c>
      <c r="C55" s="288">
        <f>ROUND(POSTOS!$J$22/21,2)</f>
        <v>0</v>
      </c>
      <c r="D55" s="288">
        <f>C55*$H$15</f>
        <v>0</v>
      </c>
      <c r="E55" s="288">
        <f t="shared" si="23"/>
        <v>0</v>
      </c>
      <c r="F55" s="84"/>
      <c r="G55" s="110"/>
      <c r="H55" s="110"/>
      <c r="I55" s="110"/>
      <c r="J55" s="111"/>
      <c r="K55" s="111"/>
      <c r="L55" s="111"/>
      <c r="M55" s="111"/>
      <c r="N55" s="111"/>
      <c r="O55" s="111"/>
      <c r="P55" s="111"/>
      <c r="Q55" s="111"/>
      <c r="R55" s="112"/>
    </row>
    <row r="56" spans="1:24" s="55" customFormat="1" ht="15" customHeight="1" x14ac:dyDescent="0.2">
      <c r="A56" s="87"/>
      <c r="B56" s="88"/>
      <c r="C56" s="89"/>
      <c r="D56" s="89"/>
      <c r="E56" s="90"/>
      <c r="F56" s="91"/>
      <c r="G56" s="92"/>
      <c r="H56" s="93"/>
      <c r="I56" s="94"/>
      <c r="J56" s="79"/>
      <c r="K56" s="79"/>
      <c r="L56" s="79"/>
      <c r="M56" s="79"/>
      <c r="N56" s="79"/>
      <c r="O56" s="79"/>
      <c r="P56" s="79"/>
      <c r="Q56" s="79"/>
      <c r="R56" s="114"/>
    </row>
    <row r="57" spans="1:24" s="73" customFormat="1" ht="15" customHeight="1" x14ac:dyDescent="0.2">
      <c r="A57" s="937" t="s">
        <v>164</v>
      </c>
      <c r="B57" s="937"/>
      <c r="C57" s="937"/>
      <c r="D57" s="937"/>
      <c r="E57" s="937"/>
      <c r="F57" s="937"/>
      <c r="G57" s="937"/>
      <c r="H57" s="937"/>
      <c r="I57" s="937"/>
      <c r="J57" s="965"/>
      <c r="K57" s="965"/>
      <c r="L57" s="965"/>
      <c r="M57" s="965"/>
      <c r="N57" s="965"/>
      <c r="O57" s="965"/>
      <c r="P57" s="965"/>
      <c r="Q57" s="965"/>
      <c r="R57" s="71"/>
      <c r="S57" s="72"/>
      <c r="T57" s="72"/>
      <c r="U57" s="72"/>
      <c r="V57" s="72"/>
      <c r="W57" s="72"/>
      <c r="X57" s="72"/>
    </row>
    <row r="58" spans="1:24" s="113" customFormat="1" ht="24.95" customHeight="1" x14ac:dyDescent="0.2">
      <c r="A58" s="963" t="s">
        <v>211</v>
      </c>
      <c r="B58" s="963"/>
      <c r="C58" s="945" t="s">
        <v>165</v>
      </c>
      <c r="D58" s="945" t="s">
        <v>166</v>
      </c>
      <c r="E58" s="945" t="s">
        <v>167</v>
      </c>
      <c r="F58" s="945" t="s">
        <v>168</v>
      </c>
      <c r="G58" s="945" t="s">
        <v>155</v>
      </c>
      <c r="H58" s="945" t="s">
        <v>169</v>
      </c>
      <c r="I58" s="945" t="s">
        <v>170</v>
      </c>
      <c r="J58" s="111"/>
      <c r="K58" s="111"/>
      <c r="L58" s="111"/>
      <c r="M58" s="111"/>
      <c r="N58" s="111"/>
      <c r="O58" s="111"/>
      <c r="P58" s="111"/>
      <c r="Q58" s="111"/>
      <c r="R58" s="112"/>
    </row>
    <row r="59" spans="1:24" s="113" customFormat="1" ht="24.95" customHeight="1" x14ac:dyDescent="0.2">
      <c r="A59" s="963"/>
      <c r="B59" s="963"/>
      <c r="C59" s="946"/>
      <c r="D59" s="946"/>
      <c r="E59" s="946"/>
      <c r="F59" s="946"/>
      <c r="G59" s="946"/>
      <c r="H59" s="946"/>
      <c r="I59" s="946"/>
      <c r="J59" s="111"/>
      <c r="K59" s="111"/>
      <c r="L59" s="111"/>
      <c r="M59" s="111"/>
      <c r="N59" s="111"/>
      <c r="O59" s="111"/>
      <c r="P59" s="111"/>
      <c r="Q59" s="111"/>
      <c r="R59" s="112"/>
    </row>
    <row r="60" spans="1:24" s="113" customFormat="1" ht="24.95" customHeight="1" x14ac:dyDescent="0.2">
      <c r="A60" s="963"/>
      <c r="B60" s="963"/>
      <c r="C60" s="946"/>
      <c r="D60" s="946"/>
      <c r="E60" s="946"/>
      <c r="F60" s="946"/>
      <c r="G60" s="946"/>
      <c r="H60" s="946"/>
      <c r="I60" s="946"/>
      <c r="J60" s="111"/>
      <c r="K60" s="111"/>
      <c r="L60" s="111"/>
      <c r="M60" s="111"/>
      <c r="N60" s="111"/>
      <c r="O60" s="111"/>
      <c r="P60" s="111"/>
      <c r="Q60" s="111"/>
      <c r="R60" s="112"/>
    </row>
    <row r="61" spans="1:24" s="113" customFormat="1" ht="24.95" customHeight="1" x14ac:dyDescent="0.2">
      <c r="A61" s="963"/>
      <c r="B61" s="963"/>
      <c r="C61" s="947"/>
      <c r="D61" s="947"/>
      <c r="E61" s="947"/>
      <c r="F61" s="947"/>
      <c r="G61" s="947"/>
      <c r="H61" s="947"/>
      <c r="I61" s="947"/>
      <c r="J61" s="111"/>
      <c r="K61" s="111"/>
      <c r="L61" s="111"/>
      <c r="M61" s="111"/>
      <c r="N61" s="111"/>
      <c r="O61" s="111"/>
      <c r="P61" s="111"/>
      <c r="Q61" s="111"/>
      <c r="R61" s="112"/>
    </row>
    <row r="62" spans="1:24" s="73" customFormat="1" ht="15" customHeight="1" x14ac:dyDescent="0.2">
      <c r="A62" s="118">
        <f>$A$15</f>
        <v>1</v>
      </c>
      <c r="B62" s="119" t="str">
        <f>$B$15</f>
        <v>Encarregado de Almoxarifado</v>
      </c>
      <c r="C62" s="289">
        <f>POSTOS!$K$19</f>
        <v>0</v>
      </c>
      <c r="D62" s="643" t="s">
        <v>452</v>
      </c>
      <c r="E62" s="643">
        <v>2</v>
      </c>
      <c r="F62" s="85">
        <f>ROUND(IF(C44&gt;0,(MAX(((C62*D62*(25.32+E62))-(C44*6%)),0)-MAX(((C62*D62*25.32)-(C44*6%)),0))/E62,0),2)</f>
        <v>0</v>
      </c>
      <c r="G62" s="85">
        <f>F62*$H$15</f>
        <v>0</v>
      </c>
      <c r="H62" s="86">
        <f t="shared" ref="H62:H64" si="24">F62+G62</f>
        <v>0</v>
      </c>
      <c r="I62" s="85">
        <f>ROUND(IF(C44&gt;0,MAX(((C62*D62*(21+E62))-(C44*6%)),0)-MAX(((C62*D62*21)-(C44*6%)),0),0),2)</f>
        <v>0</v>
      </c>
      <c r="J62" s="200"/>
      <c r="K62" s="200"/>
      <c r="L62" s="200"/>
      <c r="M62" s="200"/>
      <c r="N62" s="200"/>
      <c r="O62" s="200"/>
      <c r="P62" s="200"/>
      <c r="Q62" s="71"/>
      <c r="R62" s="71"/>
      <c r="S62" s="72"/>
      <c r="T62" s="72"/>
      <c r="U62" s="72"/>
      <c r="V62" s="72"/>
      <c r="W62" s="72"/>
      <c r="X62" s="72"/>
    </row>
    <row r="63" spans="1:24" s="73" customFormat="1" ht="15" customHeight="1" x14ac:dyDescent="0.2">
      <c r="A63" s="118">
        <f>$A$16</f>
        <v>2</v>
      </c>
      <c r="B63" s="119" t="str">
        <f>$B$16</f>
        <v>Auxiliar de Almoxarifado</v>
      </c>
      <c r="C63" s="289">
        <f>POSTOS!$K$19</f>
        <v>0</v>
      </c>
      <c r="D63" s="643">
        <v>2</v>
      </c>
      <c r="E63" s="643">
        <v>2</v>
      </c>
      <c r="F63" s="85">
        <f>ROUND(IF(C45&gt;0,(MAX(((C63*D63*(25.32+E63))-(C45*6%)),0)-MAX(((C63*D63*25.32)-(C45*6%)),0))/E63,0),2)</f>
        <v>0</v>
      </c>
      <c r="G63" s="85">
        <f>F63*$H$15</f>
        <v>0</v>
      </c>
      <c r="H63" s="86">
        <f t="shared" si="24"/>
        <v>0</v>
      </c>
      <c r="I63" s="85">
        <f>ROUND(IF(C45&gt;0,MAX(((C63*D63*(21+E63))-(C45*6%)),0)-MAX(((C63*D63*21)-(C45*6%)),0),0),2)</f>
        <v>0</v>
      </c>
      <c r="J63" s="200"/>
      <c r="K63" s="200"/>
      <c r="L63" s="200"/>
      <c r="M63" s="200"/>
      <c r="N63" s="200"/>
      <c r="O63" s="200"/>
      <c r="P63" s="200"/>
      <c r="Q63" s="71"/>
      <c r="R63" s="71"/>
      <c r="S63" s="72"/>
      <c r="T63" s="72"/>
      <c r="U63" s="72"/>
      <c r="V63" s="72"/>
      <c r="W63" s="72"/>
      <c r="X63" s="72"/>
    </row>
    <row r="64" spans="1:24" s="73" customFormat="1" ht="15" customHeight="1" x14ac:dyDescent="0.2">
      <c r="A64" s="118">
        <f>$A$17</f>
        <v>3</v>
      </c>
      <c r="B64" s="119" t="str">
        <f>$B$17</f>
        <v>Marceneiro</v>
      </c>
      <c r="C64" s="289">
        <f>POSTOS!$K$19</f>
        <v>0</v>
      </c>
      <c r="D64" s="643">
        <v>2</v>
      </c>
      <c r="E64" s="643">
        <v>1</v>
      </c>
      <c r="F64" s="85">
        <f>ROUND(IF(C46&gt;0,(MAX(((C64*D64*(21+E64))-(C46*6%)),0)-MAX(((C64*D64*21)-(C46*6%)),0))/E64,0),2)</f>
        <v>0</v>
      </c>
      <c r="G64" s="85">
        <f>F64*$H$15</f>
        <v>0</v>
      </c>
      <c r="H64" s="86">
        <f t="shared" si="24"/>
        <v>0</v>
      </c>
      <c r="I64" s="85">
        <f>ROUND(IF(C46&gt;0,MAX(((C64*D64*(21+E64))-(C46*6%)),0)-MAX(((C64*D64*21)-(C46*6%)),0),0),2)</f>
        <v>0</v>
      </c>
      <c r="J64" s="200"/>
      <c r="K64" s="200"/>
      <c r="L64" s="200"/>
      <c r="M64" s="200"/>
      <c r="N64" s="200"/>
      <c r="O64" s="200"/>
      <c r="P64" s="200"/>
      <c r="Q64" s="71"/>
      <c r="R64" s="71"/>
      <c r="S64" s="72"/>
      <c r="T64" s="72"/>
      <c r="U64" s="72"/>
      <c r="V64" s="72"/>
      <c r="W64" s="72"/>
      <c r="X64" s="72"/>
    </row>
    <row r="65" spans="1:1024" s="142" customFormat="1" ht="15" customHeight="1" x14ac:dyDescent="0.2">
      <c r="A65" s="201"/>
      <c r="B65" s="202"/>
      <c r="C65" s="128"/>
      <c r="D65" s="128"/>
      <c r="E65" s="203"/>
      <c r="F65" s="204"/>
      <c r="G65" s="204"/>
      <c r="H65" s="204"/>
      <c r="I65" s="204"/>
      <c r="J65" s="205"/>
      <c r="K65" s="205"/>
      <c r="L65" s="205"/>
      <c r="M65" s="205"/>
      <c r="N65" s="205"/>
      <c r="O65" s="205"/>
      <c r="P65" s="205"/>
      <c r="Q65" s="205"/>
      <c r="R65" s="206"/>
      <c r="S65" s="138"/>
      <c r="T65" s="138"/>
      <c r="U65" s="138"/>
      <c r="V65" s="138"/>
      <c r="W65" s="138"/>
      <c r="X65" s="138"/>
      <c r="Y65" s="138"/>
      <c r="Z65" s="138"/>
    </row>
    <row r="66" spans="1:1024" s="55" customFormat="1" ht="15" customHeight="1" x14ac:dyDescent="0.2">
      <c r="A66" s="937" t="s">
        <v>453</v>
      </c>
      <c r="B66" s="937"/>
      <c r="C66" s="937"/>
      <c r="D66" s="937"/>
      <c r="E66" s="937"/>
      <c r="F66" s="937"/>
      <c r="G66" s="937"/>
      <c r="H66" s="937"/>
      <c r="I66" s="937"/>
      <c r="J66" s="74"/>
      <c r="K66" s="74"/>
      <c r="L66" s="74"/>
      <c r="M66" s="74"/>
      <c r="N66" s="74"/>
      <c r="O66" s="74"/>
      <c r="P66" s="74"/>
      <c r="Q66" s="75"/>
    </row>
    <row r="67" spans="1:1024" s="55" customFormat="1" ht="15" customHeight="1" x14ac:dyDescent="0.2">
      <c r="A67" s="658" t="s">
        <v>454</v>
      </c>
      <c r="B67" s="655"/>
      <c r="C67" s="655"/>
      <c r="D67" s="655"/>
      <c r="E67" s="655"/>
      <c r="F67" s="655"/>
      <c r="G67" s="655"/>
      <c r="H67" s="655"/>
      <c r="I67" s="655"/>
      <c r="J67" s="74"/>
      <c r="K67" s="74"/>
      <c r="L67" s="74"/>
      <c r="M67" s="74"/>
      <c r="N67" s="74"/>
      <c r="O67" s="74"/>
      <c r="P67" s="74"/>
      <c r="Q67" s="75"/>
    </row>
    <row r="68" spans="1:1024" s="55" customFormat="1" ht="15" customHeight="1" x14ac:dyDescent="0.2">
      <c r="A68" s="658" t="s">
        <v>455</v>
      </c>
      <c r="B68" s="655"/>
      <c r="C68" s="655"/>
      <c r="D68" s="655"/>
      <c r="E68" s="655"/>
      <c r="F68" s="655"/>
      <c r="G68" s="655"/>
      <c r="H68" s="655"/>
      <c r="I68" s="655"/>
      <c r="J68" s="74"/>
      <c r="K68" s="74"/>
      <c r="L68" s="74"/>
      <c r="M68" s="74"/>
      <c r="N68" s="74"/>
      <c r="O68" s="74"/>
      <c r="P68" s="74"/>
      <c r="Q68" s="75"/>
    </row>
    <row r="69" spans="1:1024" s="55" customFormat="1" ht="15" customHeight="1" x14ac:dyDescent="0.2">
      <c r="A69" s="658"/>
      <c r="B69" s="655"/>
      <c r="C69" s="655"/>
      <c r="D69" s="655"/>
      <c r="E69" s="655"/>
      <c r="F69" s="655"/>
      <c r="G69" s="655"/>
      <c r="H69" s="655"/>
      <c r="I69" s="655"/>
      <c r="J69" s="74"/>
      <c r="K69" s="74"/>
      <c r="L69" s="74"/>
      <c r="M69" s="74"/>
      <c r="N69" s="74"/>
      <c r="O69" s="74"/>
      <c r="P69" s="74"/>
      <c r="Q69" s="75"/>
    </row>
    <row r="70" spans="1:1024" s="55" customFormat="1" ht="30" customHeight="1" x14ac:dyDescent="0.2">
      <c r="A70" s="658"/>
      <c r="B70" s="659" t="s">
        <v>456</v>
      </c>
      <c r="C70" s="654" t="s">
        <v>457</v>
      </c>
      <c r="D70" s="654" t="s">
        <v>458</v>
      </c>
      <c r="E70" s="654" t="s">
        <v>459</v>
      </c>
      <c r="F70" s="654" t="s">
        <v>460</v>
      </c>
      <c r="G70" s="655"/>
      <c r="H70" s="655"/>
      <c r="I70" s="655"/>
      <c r="J70" s="74"/>
      <c r="K70" s="74"/>
      <c r="L70" s="74"/>
      <c r="M70" s="74"/>
      <c r="N70" s="74"/>
      <c r="O70" s="74"/>
      <c r="P70" s="74"/>
      <c r="Q70" s="75"/>
    </row>
    <row r="71" spans="1:1024" s="55" customFormat="1" ht="15" customHeight="1" x14ac:dyDescent="0.2">
      <c r="A71" s="658"/>
      <c r="B71" s="660"/>
      <c r="C71" s="660"/>
      <c r="D71" s="661">
        <v>0.2</v>
      </c>
      <c r="E71" s="662">
        <f>[2]CITL!F17</f>
        <v>0.35</v>
      </c>
      <c r="F71" s="660"/>
      <c r="G71" s="655"/>
      <c r="H71" s="655"/>
      <c r="I71" s="655"/>
      <c r="J71" s="74"/>
      <c r="K71" s="74"/>
      <c r="L71" s="74"/>
      <c r="M71" s="74"/>
      <c r="N71" s="74"/>
      <c r="O71" s="74"/>
      <c r="P71" s="74"/>
      <c r="Q71" s="75"/>
    </row>
    <row r="72" spans="1:1024" s="55" customFormat="1" ht="15" customHeight="1" x14ac:dyDescent="0.2">
      <c r="A72" s="658"/>
      <c r="B72" s="663" t="s">
        <v>461</v>
      </c>
      <c r="C72" s="664">
        <v>700</v>
      </c>
      <c r="D72" s="664">
        <f>-C72*$D$71</f>
        <v>-140</v>
      </c>
      <c r="E72" s="664">
        <f>(C72+D72)*$E$71</f>
        <v>196</v>
      </c>
      <c r="F72" s="664">
        <f>SUM(C72:E72)</f>
        <v>756</v>
      </c>
      <c r="G72" s="655"/>
      <c r="H72" s="655"/>
      <c r="I72" s="655"/>
      <c r="J72" s="74"/>
      <c r="K72" s="74"/>
      <c r="L72" s="74"/>
      <c r="M72" s="74"/>
      <c r="N72" s="74"/>
      <c r="O72" s="74"/>
      <c r="P72" s="74"/>
      <c r="Q72" s="75"/>
    </row>
    <row r="73" spans="1:1024" s="55" customFormat="1" ht="15" customHeight="1" x14ac:dyDescent="0.2">
      <c r="A73" s="658"/>
      <c r="B73" s="663" t="s">
        <v>462</v>
      </c>
      <c r="C73" s="664">
        <v>630</v>
      </c>
      <c r="D73" s="664">
        <f t="shared" ref="D73" si="25">-C73*$D$71</f>
        <v>-126</v>
      </c>
      <c r="E73" s="664">
        <f t="shared" ref="E73:E74" si="26">(C73+D73)*$E$71</f>
        <v>176.39999999999998</v>
      </c>
      <c r="F73" s="664">
        <f t="shared" ref="F73:F74" si="27">SUM(C73:E73)</f>
        <v>680.4</v>
      </c>
      <c r="G73" s="655"/>
      <c r="H73" s="655"/>
      <c r="I73" s="655"/>
      <c r="J73" s="74"/>
      <c r="K73" s="74"/>
      <c r="L73" s="74"/>
      <c r="M73" s="74"/>
      <c r="N73" s="74"/>
      <c r="O73" s="74"/>
      <c r="P73" s="74"/>
      <c r="Q73" s="75"/>
    </row>
    <row r="74" spans="1:1024" s="55" customFormat="1" ht="15" customHeight="1" x14ac:dyDescent="0.2">
      <c r="A74" s="658"/>
      <c r="B74" s="663" t="s">
        <v>463</v>
      </c>
      <c r="C74" s="664">
        <v>560</v>
      </c>
      <c r="D74" s="664">
        <f>-C74*$D$71</f>
        <v>-112</v>
      </c>
      <c r="E74" s="664">
        <f t="shared" si="26"/>
        <v>156.79999999999998</v>
      </c>
      <c r="F74" s="664">
        <f t="shared" si="27"/>
        <v>604.79999999999995</v>
      </c>
      <c r="G74" s="655"/>
      <c r="H74" s="655"/>
      <c r="I74" s="655"/>
      <c r="J74" s="74"/>
      <c r="K74" s="74"/>
      <c r="L74" s="74"/>
      <c r="M74" s="74"/>
      <c r="N74" s="74"/>
      <c r="O74" s="74"/>
      <c r="P74" s="74"/>
      <c r="Q74" s="75"/>
    </row>
    <row r="75" spans="1:1024" s="55" customFormat="1" ht="15" customHeight="1" x14ac:dyDescent="0.2">
      <c r="A75" s="658"/>
      <c r="B75" s="663" t="s">
        <v>464</v>
      </c>
      <c r="C75" s="664">
        <v>0</v>
      </c>
      <c r="D75" s="664"/>
      <c r="E75" s="664"/>
      <c r="F75" s="664"/>
      <c r="G75" s="655"/>
      <c r="H75" s="655"/>
      <c r="I75" s="655"/>
      <c r="J75" s="74"/>
      <c r="K75" s="74"/>
      <c r="L75" s="74"/>
      <c r="M75" s="74"/>
      <c r="N75" s="74"/>
      <c r="O75" s="74"/>
      <c r="P75" s="74"/>
      <c r="Q75" s="75"/>
    </row>
    <row r="76" spans="1:1024" s="55" customFormat="1" ht="15" customHeight="1" x14ac:dyDescent="0.2">
      <c r="A76" s="658"/>
      <c r="B76" s="655"/>
      <c r="C76" s="655"/>
      <c r="D76" s="655"/>
      <c r="E76" s="655"/>
      <c r="F76" s="655"/>
      <c r="G76" s="655"/>
      <c r="H76" s="655"/>
      <c r="I76" s="655"/>
      <c r="J76" s="74"/>
      <c r="K76" s="74"/>
      <c r="L76" s="74"/>
      <c r="M76" s="74"/>
      <c r="N76" s="74"/>
      <c r="O76" s="74"/>
      <c r="P76" s="74"/>
      <c r="Q76" s="75"/>
    </row>
    <row r="77" spans="1:1024" s="55" customFormat="1" ht="15" customHeight="1" x14ac:dyDescent="0.2">
      <c r="I77" s="74"/>
      <c r="J77" s="74"/>
      <c r="K77" s="74"/>
      <c r="L77" s="74"/>
      <c r="M77" s="74"/>
      <c r="N77" s="74"/>
      <c r="O77" s="74"/>
      <c r="P77" s="74"/>
      <c r="Q77" s="75"/>
    </row>
    <row r="78" spans="1:1024" s="73" customFormat="1" ht="15" customHeight="1" thickBot="1" x14ac:dyDescent="0.25">
      <c r="A78" s="964" t="s">
        <v>68</v>
      </c>
      <c r="B78" s="964"/>
      <c r="C78" s="964"/>
      <c r="D78" s="964"/>
      <c r="E78" s="964"/>
      <c r="F78" s="964"/>
      <c r="G78" s="964"/>
      <c r="H78" s="964"/>
      <c r="I78" s="964"/>
      <c r="J78" s="70"/>
      <c r="K78" s="70"/>
      <c r="L78" s="70"/>
      <c r="M78" s="70"/>
      <c r="N78" s="70"/>
      <c r="O78" s="70"/>
      <c r="P78" s="70"/>
      <c r="Q78" s="70"/>
      <c r="R78" s="71"/>
      <c r="S78" s="72"/>
      <c r="T78" s="72"/>
      <c r="U78" s="72"/>
      <c r="V78" s="72"/>
      <c r="W78" s="72"/>
      <c r="X78" s="72"/>
    </row>
    <row r="79" spans="1:1024" s="76" customFormat="1" ht="20.100000000000001" customHeight="1" thickTop="1" x14ac:dyDescent="0.2">
      <c r="A79" s="938" t="s">
        <v>213</v>
      </c>
      <c r="B79" s="938"/>
      <c r="C79" s="938"/>
      <c r="D79" s="938"/>
      <c r="E79" s="938"/>
      <c r="F79" s="938"/>
      <c r="G79" s="938"/>
      <c r="H79" s="938"/>
      <c r="I79" s="938"/>
      <c r="J79" s="74"/>
      <c r="K79" s="74"/>
      <c r="L79" s="74"/>
      <c r="M79" s="74"/>
      <c r="N79" s="74"/>
      <c r="O79" s="74"/>
      <c r="P79" s="74"/>
      <c r="Q79" s="75"/>
      <c r="R79" s="55"/>
      <c r="S79" s="55"/>
      <c r="T79" s="55"/>
      <c r="U79" s="55"/>
      <c r="V79" s="55"/>
      <c r="W79" s="55"/>
      <c r="X79" s="55"/>
      <c r="Y79" s="55"/>
      <c r="Z79" s="55"/>
      <c r="AA79" s="55"/>
      <c r="AB79" s="55"/>
      <c r="AC79" s="55"/>
      <c r="AD79" s="55"/>
      <c r="AE79" s="55"/>
      <c r="AF79" s="55"/>
      <c r="AG79" s="55"/>
      <c r="AH79" s="55"/>
      <c r="AI79" s="55"/>
      <c r="AJ79" s="55"/>
      <c r="AK79" s="55"/>
      <c r="AL79" s="55"/>
      <c r="AM79" s="55"/>
      <c r="AN79" s="55"/>
      <c r="AO79" s="55"/>
      <c r="AP79" s="55"/>
      <c r="AQ79" s="55"/>
      <c r="AR79" s="55"/>
      <c r="AS79" s="55"/>
      <c r="AT79" s="55"/>
      <c r="AU79" s="55"/>
      <c r="AV79" s="55"/>
      <c r="AW79" s="55"/>
      <c r="AX79" s="55"/>
      <c r="AY79" s="55"/>
      <c r="AZ79" s="55"/>
      <c r="BA79" s="55"/>
      <c r="BB79" s="55"/>
      <c r="BC79" s="55"/>
      <c r="BD79" s="55"/>
      <c r="BE79" s="55"/>
      <c r="BF79" s="55"/>
      <c r="BG79" s="55"/>
      <c r="BH79" s="55"/>
      <c r="BI79" s="55"/>
      <c r="BJ79" s="55"/>
      <c r="BK79" s="55"/>
      <c r="BL79" s="55"/>
      <c r="BM79" s="55"/>
      <c r="BN79" s="55"/>
      <c r="BO79" s="55"/>
      <c r="BP79" s="55"/>
      <c r="BQ79" s="55"/>
      <c r="BR79" s="55"/>
      <c r="BS79" s="55"/>
      <c r="BT79" s="55"/>
      <c r="BU79" s="55"/>
      <c r="BV79" s="55"/>
      <c r="BW79" s="55"/>
      <c r="BX79" s="55"/>
      <c r="BY79" s="55"/>
      <c r="BZ79" s="55"/>
      <c r="CA79" s="55"/>
      <c r="CB79" s="55"/>
      <c r="CC79" s="55"/>
      <c r="CD79" s="55"/>
      <c r="CE79" s="55"/>
      <c r="CF79" s="55"/>
      <c r="CG79" s="55"/>
      <c r="CH79" s="55"/>
      <c r="CI79" s="55"/>
      <c r="CJ79" s="55"/>
      <c r="CK79" s="55"/>
      <c r="CL79" s="55"/>
      <c r="CM79" s="55"/>
      <c r="CN79" s="55"/>
      <c r="CO79" s="55"/>
      <c r="CP79" s="55"/>
      <c r="CQ79" s="55"/>
      <c r="CR79" s="55"/>
      <c r="CS79" s="55"/>
      <c r="CT79" s="55"/>
      <c r="CU79" s="55"/>
      <c r="CV79" s="55"/>
      <c r="CW79" s="55"/>
      <c r="CX79" s="55"/>
      <c r="CY79" s="55"/>
      <c r="CZ79" s="55"/>
      <c r="DA79" s="55"/>
      <c r="DB79" s="55"/>
      <c r="DC79" s="55"/>
      <c r="DD79" s="55"/>
      <c r="DE79" s="55"/>
      <c r="DF79" s="55"/>
      <c r="DG79" s="55"/>
      <c r="DH79" s="55"/>
      <c r="DI79" s="55"/>
      <c r="DJ79" s="55"/>
      <c r="DK79" s="55"/>
      <c r="DL79" s="55"/>
      <c r="DM79" s="55"/>
      <c r="DN79" s="55"/>
      <c r="DO79" s="55"/>
      <c r="DP79" s="55"/>
      <c r="DQ79" s="55"/>
      <c r="DR79" s="55"/>
      <c r="DS79" s="55"/>
      <c r="DT79" s="55"/>
      <c r="DU79" s="55"/>
      <c r="DV79" s="55"/>
      <c r="DW79" s="55"/>
      <c r="DX79" s="55"/>
      <c r="DY79" s="55"/>
      <c r="DZ79" s="55"/>
      <c r="EA79" s="55"/>
      <c r="EB79" s="55"/>
      <c r="EC79" s="55"/>
      <c r="ED79" s="55"/>
      <c r="EE79" s="55"/>
      <c r="EF79" s="55"/>
      <c r="EG79" s="55"/>
      <c r="EH79" s="55"/>
      <c r="EI79" s="55"/>
      <c r="EJ79" s="55"/>
      <c r="EK79" s="55"/>
      <c r="EL79" s="55"/>
      <c r="EM79" s="55"/>
      <c r="EN79" s="55"/>
      <c r="EO79" s="55"/>
      <c r="EP79" s="55"/>
      <c r="EQ79" s="55"/>
      <c r="ER79" s="55"/>
      <c r="ES79" s="55"/>
      <c r="ET79" s="55"/>
      <c r="EU79" s="55"/>
      <c r="EV79" s="55"/>
      <c r="EW79" s="55"/>
      <c r="EX79" s="55"/>
      <c r="EY79" s="55"/>
      <c r="EZ79" s="55"/>
      <c r="FA79" s="55"/>
      <c r="FB79" s="55"/>
      <c r="FC79" s="55"/>
      <c r="FD79" s="55"/>
      <c r="FE79" s="55"/>
      <c r="FF79" s="55"/>
      <c r="FG79" s="55"/>
      <c r="FH79" s="55"/>
      <c r="FI79" s="55"/>
      <c r="FJ79" s="55"/>
      <c r="FK79" s="55"/>
      <c r="FL79" s="55"/>
      <c r="FM79" s="55"/>
      <c r="FN79" s="55"/>
      <c r="FO79" s="55"/>
      <c r="FP79" s="55"/>
      <c r="FQ79" s="55"/>
      <c r="FR79" s="55"/>
      <c r="FS79" s="55"/>
      <c r="FT79" s="55"/>
      <c r="FU79" s="55"/>
      <c r="FV79" s="55"/>
      <c r="FW79" s="55"/>
      <c r="FX79" s="55"/>
      <c r="FY79" s="55"/>
      <c r="FZ79" s="55"/>
      <c r="GA79" s="55"/>
      <c r="GB79" s="55"/>
      <c r="GC79" s="55"/>
      <c r="GD79" s="55"/>
      <c r="GE79" s="55"/>
      <c r="GF79" s="55"/>
      <c r="GG79" s="55"/>
      <c r="GH79" s="55"/>
      <c r="GI79" s="55"/>
      <c r="GJ79" s="55"/>
      <c r="GK79" s="55"/>
      <c r="GL79" s="55"/>
      <c r="GM79" s="55"/>
      <c r="GN79" s="55"/>
      <c r="GO79" s="55"/>
      <c r="GP79" s="55"/>
      <c r="GQ79" s="55"/>
      <c r="GR79" s="55"/>
      <c r="GS79" s="55"/>
      <c r="GT79" s="55"/>
      <c r="GU79" s="55"/>
      <c r="GV79" s="55"/>
      <c r="GW79" s="55"/>
      <c r="GX79" s="55"/>
      <c r="GY79" s="55"/>
      <c r="GZ79" s="55"/>
      <c r="HA79" s="55"/>
      <c r="HB79" s="55"/>
      <c r="HC79" s="55"/>
      <c r="HD79" s="55"/>
      <c r="HE79" s="55"/>
      <c r="HF79" s="55"/>
      <c r="HG79" s="55"/>
      <c r="HH79" s="55"/>
      <c r="HI79" s="55"/>
      <c r="HJ79" s="55"/>
      <c r="HK79" s="55"/>
      <c r="HL79" s="55"/>
      <c r="HM79" s="55"/>
      <c r="HN79" s="55"/>
      <c r="HO79" s="55"/>
      <c r="HP79" s="55"/>
      <c r="HQ79" s="55"/>
      <c r="HR79" s="55"/>
      <c r="HS79" s="55"/>
      <c r="HT79" s="55"/>
      <c r="HU79" s="55"/>
      <c r="HV79" s="55"/>
      <c r="HW79" s="55"/>
      <c r="HX79" s="55"/>
      <c r="HY79" s="55"/>
      <c r="HZ79" s="55"/>
      <c r="IA79" s="55"/>
      <c r="IB79" s="55"/>
      <c r="IC79" s="55"/>
      <c r="ID79" s="55"/>
      <c r="IE79" s="55"/>
      <c r="IF79" s="55"/>
      <c r="IG79" s="55"/>
      <c r="IH79" s="55"/>
      <c r="II79" s="55"/>
      <c r="IJ79" s="55"/>
      <c r="IK79" s="55"/>
      <c r="IL79" s="55"/>
      <c r="IM79" s="55"/>
      <c r="IN79" s="55"/>
      <c r="IO79" s="55"/>
      <c r="IP79" s="55"/>
      <c r="IQ79" s="55"/>
      <c r="IR79" s="55"/>
      <c r="IS79" s="55"/>
      <c r="IT79" s="55"/>
      <c r="IU79" s="55"/>
      <c r="IV79" s="55"/>
      <c r="IW79" s="55"/>
      <c r="IX79" s="55"/>
      <c r="IY79" s="55"/>
      <c r="IZ79" s="55"/>
      <c r="JA79" s="55"/>
      <c r="JB79" s="55"/>
      <c r="JC79" s="55"/>
      <c r="JD79" s="55"/>
      <c r="JE79" s="55"/>
      <c r="JF79" s="55"/>
      <c r="JG79" s="55"/>
      <c r="JH79" s="55"/>
      <c r="JI79" s="55"/>
      <c r="JJ79" s="55"/>
      <c r="JK79" s="55"/>
      <c r="JL79" s="55"/>
      <c r="JM79" s="55"/>
      <c r="JN79" s="55"/>
      <c r="JO79" s="55"/>
      <c r="JP79" s="55"/>
      <c r="JQ79" s="55"/>
      <c r="JR79" s="55"/>
      <c r="JS79" s="55"/>
      <c r="JT79" s="55"/>
      <c r="JU79" s="55"/>
      <c r="JV79" s="55"/>
      <c r="JW79" s="55"/>
      <c r="JX79" s="55"/>
      <c r="JY79" s="55"/>
      <c r="JZ79" s="55"/>
      <c r="KA79" s="55"/>
      <c r="KB79" s="55"/>
      <c r="KC79" s="55"/>
      <c r="KD79" s="55"/>
      <c r="KE79" s="55"/>
      <c r="KF79" s="55"/>
      <c r="KG79" s="55"/>
      <c r="KH79" s="55"/>
      <c r="KI79" s="55"/>
      <c r="KJ79" s="55"/>
      <c r="KK79" s="55"/>
      <c r="KL79" s="55"/>
      <c r="KM79" s="55"/>
      <c r="KN79" s="55"/>
      <c r="KO79" s="55"/>
      <c r="KP79" s="55"/>
      <c r="KQ79" s="55"/>
      <c r="KR79" s="55"/>
      <c r="KS79" s="55"/>
      <c r="KT79" s="55"/>
      <c r="KU79" s="55"/>
      <c r="KV79" s="55"/>
      <c r="KW79" s="55"/>
      <c r="KX79" s="55"/>
      <c r="KY79" s="55"/>
      <c r="KZ79" s="55"/>
      <c r="LA79" s="55"/>
      <c r="LB79" s="55"/>
      <c r="LC79" s="55"/>
      <c r="LD79" s="55"/>
      <c r="LE79" s="55"/>
      <c r="LF79" s="55"/>
      <c r="LG79" s="55"/>
      <c r="LH79" s="55"/>
      <c r="LI79" s="55"/>
      <c r="LJ79" s="55"/>
      <c r="LK79" s="55"/>
      <c r="LL79" s="55"/>
      <c r="LM79" s="55"/>
      <c r="LN79" s="55"/>
      <c r="LO79" s="55"/>
      <c r="LP79" s="55"/>
      <c r="LQ79" s="55"/>
      <c r="LR79" s="55"/>
      <c r="LS79" s="55"/>
      <c r="LT79" s="55"/>
      <c r="LU79" s="55"/>
      <c r="LV79" s="55"/>
      <c r="LW79" s="55"/>
      <c r="LX79" s="55"/>
      <c r="LY79" s="55"/>
      <c r="LZ79" s="55"/>
      <c r="MA79" s="55"/>
      <c r="MB79" s="55"/>
      <c r="MC79" s="55"/>
      <c r="MD79" s="55"/>
      <c r="ME79" s="55"/>
      <c r="MF79" s="55"/>
      <c r="MG79" s="55"/>
      <c r="MH79" s="55"/>
      <c r="MI79" s="55"/>
      <c r="MJ79" s="55"/>
      <c r="MK79" s="55"/>
      <c r="ML79" s="55"/>
      <c r="MM79" s="55"/>
      <c r="MN79" s="55"/>
      <c r="MO79" s="55"/>
      <c r="MP79" s="55"/>
      <c r="MQ79" s="55"/>
      <c r="MR79" s="55"/>
      <c r="MS79" s="55"/>
      <c r="MT79" s="55"/>
      <c r="MU79" s="55"/>
      <c r="MV79" s="55"/>
      <c r="MW79" s="55"/>
      <c r="MX79" s="55"/>
      <c r="MY79" s="55"/>
      <c r="MZ79" s="55"/>
      <c r="NA79" s="55"/>
      <c r="NB79" s="55"/>
      <c r="NC79" s="55"/>
      <c r="ND79" s="55"/>
      <c r="NE79" s="55"/>
      <c r="NF79" s="55"/>
      <c r="NG79" s="55"/>
      <c r="NH79" s="55"/>
      <c r="NI79" s="55"/>
      <c r="NJ79" s="55"/>
      <c r="NK79" s="55"/>
      <c r="NL79" s="55"/>
      <c r="NM79" s="55"/>
      <c r="NN79" s="55"/>
      <c r="NO79" s="55"/>
      <c r="NP79" s="55"/>
      <c r="NQ79" s="55"/>
      <c r="NR79" s="55"/>
      <c r="NS79" s="55"/>
      <c r="NT79" s="55"/>
      <c r="NU79" s="55"/>
      <c r="NV79" s="55"/>
      <c r="NW79" s="55"/>
      <c r="NX79" s="55"/>
      <c r="NY79" s="55"/>
      <c r="NZ79" s="55"/>
      <c r="OA79" s="55"/>
      <c r="OB79" s="55"/>
      <c r="OC79" s="55"/>
      <c r="OD79" s="55"/>
      <c r="OE79" s="55"/>
      <c r="OF79" s="55"/>
      <c r="OG79" s="55"/>
      <c r="OH79" s="55"/>
      <c r="OI79" s="55"/>
      <c r="OJ79" s="55"/>
      <c r="OK79" s="55"/>
      <c r="OL79" s="55"/>
      <c r="OM79" s="55"/>
      <c r="ON79" s="55"/>
      <c r="OO79" s="55"/>
      <c r="OP79" s="55"/>
      <c r="OQ79" s="55"/>
      <c r="OR79" s="55"/>
      <c r="OS79" s="55"/>
      <c r="OT79" s="55"/>
      <c r="OU79" s="55"/>
      <c r="OV79" s="55"/>
      <c r="OW79" s="55"/>
      <c r="OX79" s="55"/>
      <c r="OY79" s="55"/>
      <c r="OZ79" s="55"/>
      <c r="PA79" s="55"/>
      <c r="PB79" s="55"/>
      <c r="PC79" s="55"/>
      <c r="PD79" s="55"/>
      <c r="PE79" s="55"/>
      <c r="PF79" s="55"/>
      <c r="PG79" s="55"/>
      <c r="PH79" s="55"/>
      <c r="PI79" s="55"/>
      <c r="PJ79" s="55"/>
      <c r="PK79" s="55"/>
      <c r="PL79" s="55"/>
      <c r="PM79" s="55"/>
      <c r="PN79" s="55"/>
      <c r="PO79" s="55"/>
      <c r="PP79" s="55"/>
      <c r="PQ79" s="55"/>
      <c r="PR79" s="55"/>
      <c r="PS79" s="55"/>
      <c r="PT79" s="55"/>
      <c r="PU79" s="55"/>
      <c r="PV79" s="55"/>
      <c r="PW79" s="55"/>
      <c r="PX79" s="55"/>
      <c r="PY79" s="55"/>
      <c r="PZ79" s="55"/>
      <c r="QA79" s="55"/>
      <c r="QB79" s="55"/>
      <c r="QC79" s="55"/>
      <c r="QD79" s="55"/>
      <c r="QE79" s="55"/>
      <c r="QF79" s="55"/>
      <c r="QG79" s="55"/>
      <c r="QH79" s="55"/>
      <c r="QI79" s="55"/>
      <c r="QJ79" s="55"/>
      <c r="QK79" s="55"/>
      <c r="QL79" s="55"/>
      <c r="QM79" s="55"/>
      <c r="QN79" s="55"/>
      <c r="QO79" s="55"/>
      <c r="QP79" s="55"/>
      <c r="QQ79" s="55"/>
      <c r="QR79" s="55"/>
      <c r="QS79" s="55"/>
      <c r="QT79" s="55"/>
      <c r="QU79" s="55"/>
      <c r="QV79" s="55"/>
      <c r="QW79" s="55"/>
      <c r="QX79" s="55"/>
      <c r="QY79" s="55"/>
      <c r="QZ79" s="55"/>
      <c r="RA79" s="55"/>
      <c r="RB79" s="55"/>
      <c r="RC79" s="55"/>
      <c r="RD79" s="55"/>
      <c r="RE79" s="55"/>
      <c r="RF79" s="55"/>
      <c r="RG79" s="55"/>
      <c r="RH79" s="55"/>
      <c r="RI79" s="55"/>
      <c r="RJ79" s="55"/>
      <c r="RK79" s="55"/>
      <c r="RL79" s="55"/>
      <c r="RM79" s="55"/>
      <c r="RN79" s="55"/>
      <c r="RO79" s="55"/>
      <c r="RP79" s="55"/>
      <c r="RQ79" s="55"/>
      <c r="RR79" s="55"/>
      <c r="RS79" s="55"/>
      <c r="RT79" s="55"/>
      <c r="RU79" s="55"/>
      <c r="RV79" s="55"/>
      <c r="RW79" s="55"/>
      <c r="RX79" s="55"/>
      <c r="RY79" s="55"/>
      <c r="RZ79" s="55"/>
      <c r="SA79" s="55"/>
      <c r="SB79" s="55"/>
      <c r="SC79" s="55"/>
      <c r="SD79" s="55"/>
      <c r="SE79" s="55"/>
      <c r="SF79" s="55"/>
      <c r="SG79" s="55"/>
      <c r="SH79" s="55"/>
      <c r="SI79" s="55"/>
      <c r="SJ79" s="55"/>
      <c r="SK79" s="55"/>
      <c r="SL79" s="55"/>
      <c r="SM79" s="55"/>
      <c r="SN79" s="55"/>
      <c r="SO79" s="55"/>
      <c r="SP79" s="55"/>
      <c r="SQ79" s="55"/>
      <c r="SR79" s="55"/>
      <c r="SS79" s="55"/>
      <c r="ST79" s="55"/>
      <c r="SU79" s="55"/>
      <c r="SV79" s="55"/>
      <c r="SW79" s="55"/>
      <c r="SX79" s="55"/>
      <c r="SY79" s="55"/>
      <c r="SZ79" s="55"/>
      <c r="TA79" s="55"/>
      <c r="TB79" s="55"/>
      <c r="TC79" s="55"/>
      <c r="TD79" s="55"/>
      <c r="TE79" s="55"/>
      <c r="TF79" s="55"/>
      <c r="TG79" s="55"/>
      <c r="TH79" s="55"/>
      <c r="TI79" s="55"/>
      <c r="TJ79" s="55"/>
      <c r="TK79" s="55"/>
      <c r="TL79" s="55"/>
      <c r="TM79" s="55"/>
      <c r="TN79" s="55"/>
      <c r="TO79" s="55"/>
      <c r="TP79" s="55"/>
      <c r="TQ79" s="55"/>
      <c r="TR79" s="55"/>
      <c r="TS79" s="55"/>
      <c r="TT79" s="55"/>
      <c r="TU79" s="55"/>
      <c r="TV79" s="55"/>
      <c r="TW79" s="55"/>
      <c r="TX79" s="55"/>
      <c r="TY79" s="55"/>
      <c r="TZ79" s="55"/>
      <c r="UA79" s="55"/>
      <c r="UB79" s="55"/>
      <c r="UC79" s="55"/>
      <c r="UD79" s="55"/>
      <c r="UE79" s="55"/>
      <c r="UF79" s="55"/>
      <c r="UG79" s="55"/>
      <c r="UH79" s="55"/>
      <c r="UI79" s="55"/>
      <c r="UJ79" s="55"/>
      <c r="UK79" s="55"/>
      <c r="UL79" s="55"/>
      <c r="UM79" s="55"/>
      <c r="UN79" s="55"/>
      <c r="UO79" s="55"/>
      <c r="UP79" s="55"/>
      <c r="UQ79" s="55"/>
      <c r="UR79" s="55"/>
      <c r="US79" s="55"/>
      <c r="UT79" s="55"/>
      <c r="UU79" s="55"/>
      <c r="UV79" s="55"/>
      <c r="UW79" s="55"/>
      <c r="UX79" s="55"/>
      <c r="UY79" s="55"/>
      <c r="UZ79" s="55"/>
      <c r="VA79" s="55"/>
      <c r="VB79" s="55"/>
      <c r="VC79" s="55"/>
      <c r="VD79" s="55"/>
      <c r="VE79" s="55"/>
      <c r="VF79" s="55"/>
      <c r="VG79" s="55"/>
      <c r="VH79" s="55"/>
      <c r="VI79" s="55"/>
      <c r="VJ79" s="55"/>
      <c r="VK79" s="55"/>
      <c r="VL79" s="55"/>
      <c r="VM79" s="55"/>
      <c r="VN79" s="55"/>
      <c r="VO79" s="55"/>
      <c r="VP79" s="55"/>
      <c r="VQ79" s="55"/>
      <c r="VR79" s="55"/>
      <c r="VS79" s="55"/>
      <c r="VT79" s="55"/>
      <c r="VU79" s="55"/>
      <c r="VV79" s="55"/>
      <c r="VW79" s="55"/>
      <c r="VX79" s="55"/>
      <c r="VY79" s="55"/>
      <c r="VZ79" s="55"/>
      <c r="WA79" s="55"/>
      <c r="WB79" s="55"/>
      <c r="WC79" s="55"/>
      <c r="WD79" s="55"/>
      <c r="WE79" s="55"/>
      <c r="WF79" s="55"/>
      <c r="WG79" s="55"/>
      <c r="WH79" s="55"/>
      <c r="WI79" s="55"/>
      <c r="WJ79" s="55"/>
      <c r="WK79" s="55"/>
      <c r="WL79" s="55"/>
      <c r="WM79" s="55"/>
      <c r="WN79" s="55"/>
      <c r="WO79" s="55"/>
      <c r="WP79" s="55"/>
      <c r="WQ79" s="55"/>
      <c r="WR79" s="55"/>
      <c r="WS79" s="55"/>
      <c r="WT79" s="55"/>
      <c r="WU79" s="55"/>
      <c r="WV79" s="55"/>
      <c r="WW79" s="55"/>
      <c r="WX79" s="55"/>
      <c r="WY79" s="55"/>
      <c r="WZ79" s="55"/>
      <c r="XA79" s="55"/>
      <c r="XB79" s="55"/>
      <c r="XC79" s="55"/>
      <c r="XD79" s="55"/>
      <c r="XE79" s="55"/>
      <c r="XF79" s="55"/>
      <c r="XG79" s="55"/>
      <c r="XH79" s="55"/>
      <c r="XI79" s="55"/>
      <c r="XJ79" s="55"/>
      <c r="XK79" s="55"/>
      <c r="XL79" s="55"/>
      <c r="XM79" s="55"/>
      <c r="XN79" s="55"/>
      <c r="XO79" s="55"/>
      <c r="XP79" s="55"/>
      <c r="XQ79" s="55"/>
      <c r="XR79" s="55"/>
      <c r="XS79" s="55"/>
      <c r="XT79" s="55"/>
      <c r="XU79" s="55"/>
      <c r="XV79" s="55"/>
      <c r="XW79" s="55"/>
      <c r="XX79" s="55"/>
      <c r="XY79" s="55"/>
      <c r="XZ79" s="55"/>
      <c r="YA79" s="55"/>
      <c r="YB79" s="55"/>
      <c r="YC79" s="55"/>
      <c r="YD79" s="55"/>
      <c r="YE79" s="55"/>
      <c r="YF79" s="55"/>
      <c r="YG79" s="55"/>
      <c r="YH79" s="55"/>
      <c r="YI79" s="55"/>
      <c r="YJ79" s="55"/>
      <c r="YK79" s="55"/>
      <c r="YL79" s="55"/>
      <c r="YM79" s="55"/>
      <c r="YN79" s="55"/>
      <c r="YO79" s="55"/>
      <c r="YP79" s="55"/>
      <c r="YQ79" s="55"/>
      <c r="YR79" s="55"/>
      <c r="YS79" s="55"/>
      <c r="YT79" s="55"/>
      <c r="YU79" s="55"/>
      <c r="YV79" s="55"/>
      <c r="YW79" s="55"/>
      <c r="YX79" s="55"/>
      <c r="YY79" s="55"/>
      <c r="YZ79" s="55"/>
      <c r="ZA79" s="55"/>
      <c r="ZB79" s="55"/>
      <c r="ZC79" s="55"/>
      <c r="ZD79" s="55"/>
      <c r="ZE79" s="55"/>
      <c r="ZF79" s="55"/>
      <c r="ZG79" s="55"/>
      <c r="ZH79" s="55"/>
      <c r="ZI79" s="55"/>
      <c r="ZJ79" s="55"/>
      <c r="ZK79" s="55"/>
      <c r="ZL79" s="55"/>
      <c r="ZM79" s="55"/>
      <c r="ZN79" s="55"/>
      <c r="ZO79" s="55"/>
      <c r="ZP79" s="55"/>
      <c r="ZQ79" s="55"/>
      <c r="ZR79" s="55"/>
      <c r="ZS79" s="55"/>
      <c r="ZT79" s="55"/>
      <c r="ZU79" s="55"/>
      <c r="ZV79" s="55"/>
      <c r="ZW79" s="55"/>
      <c r="ZX79" s="55"/>
      <c r="ZY79" s="55"/>
      <c r="ZZ79" s="55"/>
      <c r="AAA79" s="55"/>
      <c r="AAB79" s="55"/>
      <c r="AAC79" s="55"/>
      <c r="AAD79" s="55"/>
      <c r="AAE79" s="55"/>
      <c r="AAF79" s="55"/>
      <c r="AAG79" s="55"/>
      <c r="AAH79" s="55"/>
      <c r="AAI79" s="55"/>
      <c r="AAJ79" s="55"/>
      <c r="AAK79" s="55"/>
      <c r="AAL79" s="55"/>
      <c r="AAM79" s="55"/>
      <c r="AAN79" s="55"/>
      <c r="AAO79" s="55"/>
      <c r="AAP79" s="55"/>
      <c r="AAQ79" s="55"/>
      <c r="AAR79" s="55"/>
      <c r="AAS79" s="55"/>
      <c r="AAT79" s="55"/>
      <c r="AAU79" s="55"/>
      <c r="AAV79" s="55"/>
      <c r="AAW79" s="55"/>
      <c r="AAX79" s="55"/>
      <c r="AAY79" s="55"/>
      <c r="AAZ79" s="55"/>
      <c r="ABA79" s="55"/>
      <c r="ABB79" s="55"/>
      <c r="ABC79" s="55"/>
      <c r="ABD79" s="55"/>
      <c r="ABE79" s="55"/>
      <c r="ABF79" s="55"/>
      <c r="ABG79" s="55"/>
      <c r="ABH79" s="55"/>
      <c r="ABI79" s="55"/>
      <c r="ABJ79" s="55"/>
      <c r="ABK79" s="55"/>
      <c r="ABL79" s="55"/>
      <c r="ABM79" s="55"/>
      <c r="ABN79" s="55"/>
      <c r="ABO79" s="55"/>
      <c r="ABP79" s="55"/>
      <c r="ABQ79" s="55"/>
      <c r="ABR79" s="55"/>
      <c r="ABS79" s="55"/>
      <c r="ABT79" s="55"/>
      <c r="ABU79" s="55"/>
      <c r="ABV79" s="55"/>
      <c r="ABW79" s="55"/>
      <c r="ABX79" s="55"/>
      <c r="ABY79" s="55"/>
      <c r="ABZ79" s="55"/>
      <c r="ACA79" s="55"/>
      <c r="ACB79" s="55"/>
      <c r="ACC79" s="55"/>
      <c r="ACD79" s="55"/>
      <c r="ACE79" s="55"/>
      <c r="ACF79" s="55"/>
      <c r="ACG79" s="55"/>
      <c r="ACH79" s="55"/>
      <c r="ACI79" s="55"/>
      <c r="ACJ79" s="55"/>
      <c r="ACK79" s="55"/>
      <c r="ACL79" s="55"/>
      <c r="ACM79" s="55"/>
      <c r="ACN79" s="55"/>
      <c r="ACO79" s="55"/>
      <c r="ACP79" s="55"/>
      <c r="ACQ79" s="55"/>
      <c r="ACR79" s="55"/>
      <c r="ACS79" s="55"/>
      <c r="ACT79" s="55"/>
      <c r="ACU79" s="55"/>
      <c r="ACV79" s="55"/>
      <c r="ACW79" s="55"/>
      <c r="ACX79" s="55"/>
      <c r="ACY79" s="55"/>
      <c r="ACZ79" s="55"/>
      <c r="ADA79" s="55"/>
      <c r="ADB79" s="55"/>
      <c r="ADC79" s="55"/>
      <c r="ADD79" s="55"/>
      <c r="ADE79" s="55"/>
      <c r="ADF79" s="55"/>
      <c r="ADG79" s="55"/>
      <c r="ADH79" s="55"/>
      <c r="ADI79" s="55"/>
      <c r="ADJ79" s="55"/>
      <c r="ADK79" s="55"/>
      <c r="ADL79" s="55"/>
      <c r="ADM79" s="55"/>
      <c r="ADN79" s="55"/>
      <c r="ADO79" s="55"/>
      <c r="ADP79" s="55"/>
      <c r="ADQ79" s="55"/>
      <c r="ADR79" s="55"/>
      <c r="ADS79" s="55"/>
      <c r="ADT79" s="55"/>
      <c r="ADU79" s="55"/>
      <c r="ADV79" s="55"/>
      <c r="ADW79" s="55"/>
      <c r="ADX79" s="55"/>
      <c r="ADY79" s="55"/>
      <c r="ADZ79" s="55"/>
      <c r="AEA79" s="55"/>
      <c r="AEB79" s="55"/>
      <c r="AEC79" s="55"/>
      <c r="AED79" s="55"/>
      <c r="AEE79" s="55"/>
      <c r="AEF79" s="55"/>
      <c r="AEG79" s="55"/>
      <c r="AEH79" s="55"/>
      <c r="AEI79" s="55"/>
      <c r="AEJ79" s="55"/>
      <c r="AEK79" s="55"/>
      <c r="AEL79" s="55"/>
      <c r="AEM79" s="55"/>
      <c r="AEN79" s="55"/>
      <c r="AEO79" s="55"/>
      <c r="AEP79" s="55"/>
      <c r="AEQ79" s="55"/>
      <c r="AER79" s="55"/>
      <c r="AES79" s="55"/>
      <c r="AET79" s="55"/>
      <c r="AEU79" s="55"/>
      <c r="AEV79" s="55"/>
      <c r="AEW79" s="55"/>
      <c r="AEX79" s="55"/>
      <c r="AEY79" s="55"/>
      <c r="AEZ79" s="55"/>
      <c r="AFA79" s="55"/>
      <c r="AFB79" s="55"/>
      <c r="AFC79" s="55"/>
      <c r="AFD79" s="55"/>
      <c r="AFE79" s="55"/>
      <c r="AFF79" s="55"/>
      <c r="AFG79" s="55"/>
      <c r="AFH79" s="55"/>
      <c r="AFI79" s="55"/>
      <c r="AFJ79" s="55"/>
      <c r="AFK79" s="55"/>
      <c r="AFL79" s="55"/>
      <c r="AFM79" s="55"/>
      <c r="AFN79" s="55"/>
      <c r="AFO79" s="55"/>
      <c r="AFP79" s="55"/>
      <c r="AFQ79" s="55"/>
      <c r="AFR79" s="55"/>
      <c r="AFS79" s="55"/>
      <c r="AFT79" s="55"/>
      <c r="AFU79" s="55"/>
      <c r="AFV79" s="55"/>
      <c r="AFW79" s="55"/>
      <c r="AFX79" s="55"/>
      <c r="AFY79" s="55"/>
      <c r="AFZ79" s="55"/>
      <c r="AGA79" s="55"/>
      <c r="AGB79" s="55"/>
      <c r="AGC79" s="55"/>
      <c r="AGD79" s="55"/>
      <c r="AGE79" s="55"/>
      <c r="AGF79" s="55"/>
      <c r="AGG79" s="55"/>
      <c r="AGH79" s="55"/>
      <c r="AGI79" s="55"/>
      <c r="AGJ79" s="55"/>
      <c r="AGK79" s="55"/>
      <c r="AGL79" s="55"/>
      <c r="AGM79" s="55"/>
      <c r="AGN79" s="55"/>
      <c r="AGO79" s="55"/>
      <c r="AGP79" s="55"/>
      <c r="AGQ79" s="55"/>
      <c r="AGR79" s="55"/>
      <c r="AGS79" s="55"/>
      <c r="AGT79" s="55"/>
      <c r="AGU79" s="55"/>
      <c r="AGV79" s="55"/>
      <c r="AGW79" s="55"/>
      <c r="AGX79" s="55"/>
      <c r="AGY79" s="55"/>
      <c r="AGZ79" s="55"/>
      <c r="AHA79" s="55"/>
      <c r="AHB79" s="55"/>
      <c r="AHC79" s="55"/>
      <c r="AHD79" s="55"/>
      <c r="AHE79" s="55"/>
      <c r="AHF79" s="55"/>
      <c r="AHG79" s="55"/>
      <c r="AHH79" s="55"/>
      <c r="AHI79" s="55"/>
      <c r="AHJ79" s="55"/>
      <c r="AHK79" s="55"/>
      <c r="AHL79" s="55"/>
      <c r="AHM79" s="55"/>
      <c r="AHN79" s="55"/>
      <c r="AHO79" s="55"/>
      <c r="AHP79" s="55"/>
      <c r="AHQ79" s="55"/>
      <c r="AHR79" s="55"/>
      <c r="AHS79" s="55"/>
      <c r="AHT79" s="55"/>
      <c r="AHU79" s="55"/>
      <c r="AHV79" s="55"/>
      <c r="AHW79" s="55"/>
      <c r="AHX79" s="55"/>
      <c r="AHY79" s="55"/>
      <c r="AHZ79" s="55"/>
      <c r="AIA79" s="55"/>
      <c r="AIB79" s="55"/>
      <c r="AIC79" s="55"/>
      <c r="AID79" s="55"/>
      <c r="AIE79" s="55"/>
      <c r="AIF79" s="55"/>
      <c r="AIG79" s="55"/>
      <c r="AIH79" s="55"/>
      <c r="AII79" s="55"/>
      <c r="AIJ79" s="55"/>
      <c r="AIK79" s="55"/>
      <c r="AIL79" s="55"/>
      <c r="AIM79" s="55"/>
      <c r="AIN79" s="55"/>
      <c r="AIO79" s="55"/>
      <c r="AIP79" s="55"/>
      <c r="AIQ79" s="55"/>
      <c r="AIR79" s="55"/>
      <c r="AIS79" s="55"/>
      <c r="AIT79" s="55"/>
      <c r="AIU79" s="55"/>
      <c r="AIV79" s="55"/>
      <c r="AIW79" s="55"/>
      <c r="AIX79" s="55"/>
      <c r="AIY79" s="55"/>
      <c r="AIZ79" s="55"/>
      <c r="AJA79" s="55"/>
      <c r="AJB79" s="55"/>
      <c r="AJC79" s="55"/>
      <c r="AJD79" s="55"/>
      <c r="AJE79" s="55"/>
      <c r="AJF79" s="55"/>
      <c r="AJG79" s="55"/>
      <c r="AJH79" s="55"/>
      <c r="AJI79" s="55"/>
      <c r="AJJ79" s="55"/>
      <c r="AJK79" s="55"/>
      <c r="AJL79" s="55"/>
      <c r="AJM79" s="55"/>
      <c r="AJN79" s="55"/>
      <c r="AJO79" s="55"/>
      <c r="AJP79" s="55"/>
      <c r="AJQ79" s="55"/>
      <c r="AJR79" s="55"/>
      <c r="AJS79" s="55"/>
      <c r="AJT79" s="55"/>
      <c r="AJU79" s="55"/>
      <c r="AJV79" s="55"/>
      <c r="AJW79" s="55"/>
      <c r="AJX79" s="55"/>
      <c r="AJY79" s="55"/>
      <c r="AJZ79" s="55"/>
      <c r="AKA79" s="55"/>
      <c r="AKB79" s="55"/>
      <c r="AKC79" s="55"/>
      <c r="AKD79" s="55"/>
      <c r="AKE79" s="55"/>
      <c r="AKF79" s="55"/>
      <c r="AKG79" s="55"/>
      <c r="AKH79" s="55"/>
      <c r="AKI79" s="55"/>
      <c r="AKJ79" s="55"/>
      <c r="AKK79" s="55"/>
      <c r="AKL79" s="55"/>
      <c r="AKM79" s="55"/>
      <c r="AKN79" s="55"/>
      <c r="AKO79" s="55"/>
      <c r="AKP79" s="55"/>
      <c r="AKQ79" s="55"/>
      <c r="AKR79" s="55"/>
      <c r="AKS79" s="55"/>
      <c r="AKT79" s="55"/>
      <c r="AKU79" s="55"/>
      <c r="AKV79" s="55"/>
      <c r="AKW79" s="55"/>
      <c r="AKX79" s="55"/>
      <c r="AKY79" s="55"/>
      <c r="AKZ79" s="55"/>
      <c r="ALA79" s="55"/>
      <c r="ALB79" s="55"/>
      <c r="ALC79" s="55"/>
      <c r="ALD79" s="55"/>
      <c r="ALE79" s="55"/>
      <c r="ALF79" s="55"/>
      <c r="ALG79" s="55"/>
      <c r="ALH79" s="55"/>
      <c r="ALI79" s="55"/>
      <c r="ALJ79" s="55"/>
      <c r="ALK79" s="55"/>
      <c r="ALL79" s="55"/>
      <c r="ALM79" s="55"/>
      <c r="ALN79" s="55"/>
      <c r="ALO79" s="55"/>
      <c r="ALP79" s="55"/>
      <c r="ALQ79" s="55"/>
      <c r="ALR79" s="55"/>
      <c r="ALS79" s="55"/>
      <c r="ALT79" s="55"/>
      <c r="ALU79" s="55"/>
      <c r="ALV79" s="55"/>
      <c r="ALW79" s="55"/>
      <c r="ALX79" s="55"/>
      <c r="ALY79" s="55"/>
      <c r="ALZ79" s="55"/>
      <c r="AMA79" s="55"/>
      <c r="AMB79" s="55"/>
      <c r="AMC79" s="55"/>
      <c r="AMD79" s="55"/>
      <c r="AME79" s="55"/>
      <c r="AMF79" s="55"/>
      <c r="AMG79" s="55"/>
      <c r="AMH79" s="55"/>
      <c r="AMI79" s="55"/>
      <c r="AMJ79" s="55"/>
    </row>
    <row r="80" spans="1:1024" s="76" customFormat="1" ht="20.100000000000001" customHeight="1" x14ac:dyDescent="0.2">
      <c r="A80" s="938" t="s">
        <v>465</v>
      </c>
      <c r="B80" s="938"/>
      <c r="C80" s="938"/>
      <c r="D80" s="938"/>
      <c r="E80" s="656"/>
      <c r="F80" s="656"/>
      <c r="G80" s="656"/>
      <c r="H80" s="656"/>
      <c r="I80" s="656"/>
      <c r="J80" s="74"/>
      <c r="K80" s="74"/>
      <c r="L80" s="74"/>
      <c r="M80" s="74"/>
      <c r="N80" s="74"/>
      <c r="O80" s="74"/>
      <c r="P80" s="74"/>
      <c r="Q80" s="75"/>
      <c r="R80" s="55"/>
      <c r="S80" s="55"/>
      <c r="T80" s="55"/>
      <c r="U80" s="55"/>
      <c r="V80" s="55"/>
      <c r="W80" s="55"/>
      <c r="X80" s="55"/>
      <c r="Y80" s="55"/>
      <c r="Z80" s="55"/>
      <c r="AA80" s="55"/>
      <c r="AB80" s="55"/>
      <c r="AC80" s="55"/>
      <c r="AD80" s="55"/>
      <c r="AE80" s="55"/>
      <c r="AF80" s="55"/>
      <c r="AG80" s="55"/>
      <c r="AH80" s="55"/>
      <c r="AI80" s="55"/>
      <c r="AJ80" s="55"/>
      <c r="AK80" s="55"/>
      <c r="AL80" s="55"/>
      <c r="AM80" s="55"/>
      <c r="AN80" s="55"/>
      <c r="AO80" s="55"/>
      <c r="AP80" s="55"/>
      <c r="AQ80" s="55"/>
      <c r="AR80" s="55"/>
      <c r="AS80" s="55"/>
      <c r="AT80" s="55"/>
      <c r="AU80" s="55"/>
      <c r="AV80" s="55"/>
      <c r="AW80" s="55"/>
      <c r="AX80" s="55"/>
      <c r="AY80" s="55"/>
      <c r="AZ80" s="55"/>
      <c r="BA80" s="55"/>
      <c r="BB80" s="55"/>
      <c r="BC80" s="55"/>
      <c r="BD80" s="55"/>
      <c r="BE80" s="55"/>
      <c r="BF80" s="55"/>
      <c r="BG80" s="55"/>
      <c r="BH80" s="55"/>
      <c r="BI80" s="55"/>
      <c r="BJ80" s="55"/>
      <c r="BK80" s="55"/>
      <c r="BL80" s="55"/>
      <c r="BM80" s="55"/>
      <c r="BN80" s="55"/>
      <c r="BO80" s="55"/>
      <c r="BP80" s="55"/>
      <c r="BQ80" s="55"/>
      <c r="BR80" s="55"/>
      <c r="BS80" s="55"/>
      <c r="BT80" s="55"/>
      <c r="BU80" s="55"/>
      <c r="BV80" s="55"/>
      <c r="BW80" s="55"/>
      <c r="BX80" s="55"/>
      <c r="BY80" s="55"/>
      <c r="BZ80" s="55"/>
      <c r="CA80" s="55"/>
      <c r="CB80" s="55"/>
      <c r="CC80" s="55"/>
      <c r="CD80" s="55"/>
      <c r="CE80" s="55"/>
      <c r="CF80" s="55"/>
      <c r="CG80" s="55"/>
      <c r="CH80" s="55"/>
      <c r="CI80" s="55"/>
      <c r="CJ80" s="55"/>
      <c r="CK80" s="55"/>
      <c r="CL80" s="55"/>
      <c r="CM80" s="55"/>
      <c r="CN80" s="55"/>
      <c r="CO80" s="55"/>
      <c r="CP80" s="55"/>
      <c r="CQ80" s="55"/>
      <c r="CR80" s="55"/>
      <c r="CS80" s="55"/>
      <c r="CT80" s="55"/>
      <c r="CU80" s="55"/>
      <c r="CV80" s="55"/>
      <c r="CW80" s="55"/>
      <c r="CX80" s="55"/>
      <c r="CY80" s="55"/>
      <c r="CZ80" s="55"/>
      <c r="DA80" s="55"/>
      <c r="DB80" s="55"/>
      <c r="DC80" s="55"/>
      <c r="DD80" s="55"/>
      <c r="DE80" s="55"/>
      <c r="DF80" s="55"/>
      <c r="DG80" s="55"/>
      <c r="DH80" s="55"/>
      <c r="DI80" s="55"/>
      <c r="DJ80" s="55"/>
      <c r="DK80" s="55"/>
      <c r="DL80" s="55"/>
      <c r="DM80" s="55"/>
      <c r="DN80" s="55"/>
      <c r="DO80" s="55"/>
      <c r="DP80" s="55"/>
      <c r="DQ80" s="55"/>
      <c r="DR80" s="55"/>
      <c r="DS80" s="55"/>
      <c r="DT80" s="55"/>
      <c r="DU80" s="55"/>
      <c r="DV80" s="55"/>
      <c r="DW80" s="55"/>
      <c r="DX80" s="55"/>
      <c r="DY80" s="55"/>
      <c r="DZ80" s="55"/>
      <c r="EA80" s="55"/>
      <c r="EB80" s="55"/>
      <c r="EC80" s="55"/>
      <c r="ED80" s="55"/>
      <c r="EE80" s="55"/>
      <c r="EF80" s="55"/>
      <c r="EG80" s="55"/>
      <c r="EH80" s="55"/>
      <c r="EI80" s="55"/>
      <c r="EJ80" s="55"/>
      <c r="EK80" s="55"/>
      <c r="EL80" s="55"/>
      <c r="EM80" s="55"/>
      <c r="EN80" s="55"/>
      <c r="EO80" s="55"/>
      <c r="EP80" s="55"/>
      <c r="EQ80" s="55"/>
      <c r="ER80" s="55"/>
      <c r="ES80" s="55"/>
      <c r="ET80" s="55"/>
      <c r="EU80" s="55"/>
      <c r="EV80" s="55"/>
      <c r="EW80" s="55"/>
      <c r="EX80" s="55"/>
      <c r="EY80" s="55"/>
      <c r="EZ80" s="55"/>
      <c r="FA80" s="55"/>
      <c r="FB80" s="55"/>
      <c r="FC80" s="55"/>
      <c r="FD80" s="55"/>
      <c r="FE80" s="55"/>
      <c r="FF80" s="55"/>
      <c r="FG80" s="55"/>
      <c r="FH80" s="55"/>
      <c r="FI80" s="55"/>
      <c r="FJ80" s="55"/>
      <c r="FK80" s="55"/>
      <c r="FL80" s="55"/>
      <c r="FM80" s="55"/>
      <c r="FN80" s="55"/>
      <c r="FO80" s="55"/>
      <c r="FP80" s="55"/>
      <c r="FQ80" s="55"/>
      <c r="FR80" s="55"/>
      <c r="FS80" s="55"/>
      <c r="FT80" s="55"/>
      <c r="FU80" s="55"/>
      <c r="FV80" s="55"/>
      <c r="FW80" s="55"/>
      <c r="FX80" s="55"/>
      <c r="FY80" s="55"/>
      <c r="FZ80" s="55"/>
      <c r="GA80" s="55"/>
      <c r="GB80" s="55"/>
      <c r="GC80" s="55"/>
      <c r="GD80" s="55"/>
      <c r="GE80" s="55"/>
      <c r="GF80" s="55"/>
      <c r="GG80" s="55"/>
      <c r="GH80" s="55"/>
      <c r="GI80" s="55"/>
      <c r="GJ80" s="55"/>
      <c r="GK80" s="55"/>
      <c r="GL80" s="55"/>
      <c r="GM80" s="55"/>
      <c r="GN80" s="55"/>
      <c r="GO80" s="55"/>
      <c r="GP80" s="55"/>
      <c r="GQ80" s="55"/>
      <c r="GR80" s="55"/>
      <c r="GS80" s="55"/>
      <c r="GT80" s="55"/>
      <c r="GU80" s="55"/>
      <c r="GV80" s="55"/>
      <c r="GW80" s="55"/>
      <c r="GX80" s="55"/>
      <c r="GY80" s="55"/>
      <c r="GZ80" s="55"/>
      <c r="HA80" s="55"/>
      <c r="HB80" s="55"/>
      <c r="HC80" s="55"/>
      <c r="HD80" s="55"/>
      <c r="HE80" s="55"/>
      <c r="HF80" s="55"/>
      <c r="HG80" s="55"/>
      <c r="HH80" s="55"/>
      <c r="HI80" s="55"/>
      <c r="HJ80" s="55"/>
      <c r="HK80" s="55"/>
      <c r="HL80" s="55"/>
      <c r="HM80" s="55"/>
      <c r="HN80" s="55"/>
      <c r="HO80" s="55"/>
      <c r="HP80" s="55"/>
      <c r="HQ80" s="55"/>
      <c r="HR80" s="55"/>
      <c r="HS80" s="55"/>
      <c r="HT80" s="55"/>
      <c r="HU80" s="55"/>
      <c r="HV80" s="55"/>
      <c r="HW80" s="55"/>
      <c r="HX80" s="55"/>
      <c r="HY80" s="55"/>
      <c r="HZ80" s="55"/>
      <c r="IA80" s="55"/>
      <c r="IB80" s="55"/>
      <c r="IC80" s="55"/>
      <c r="ID80" s="55"/>
      <c r="IE80" s="55"/>
      <c r="IF80" s="55"/>
      <c r="IG80" s="55"/>
      <c r="IH80" s="55"/>
      <c r="II80" s="55"/>
      <c r="IJ80" s="55"/>
      <c r="IK80" s="55"/>
      <c r="IL80" s="55"/>
      <c r="IM80" s="55"/>
      <c r="IN80" s="55"/>
      <c r="IO80" s="55"/>
      <c r="IP80" s="55"/>
      <c r="IQ80" s="55"/>
      <c r="IR80" s="55"/>
      <c r="IS80" s="55"/>
      <c r="IT80" s="55"/>
      <c r="IU80" s="55"/>
      <c r="IV80" s="55"/>
      <c r="IW80" s="55"/>
      <c r="IX80" s="55"/>
      <c r="IY80" s="55"/>
      <c r="IZ80" s="55"/>
      <c r="JA80" s="55"/>
      <c r="JB80" s="55"/>
      <c r="JC80" s="55"/>
      <c r="JD80" s="55"/>
      <c r="JE80" s="55"/>
      <c r="JF80" s="55"/>
      <c r="JG80" s="55"/>
      <c r="JH80" s="55"/>
      <c r="JI80" s="55"/>
      <c r="JJ80" s="55"/>
      <c r="JK80" s="55"/>
      <c r="JL80" s="55"/>
      <c r="JM80" s="55"/>
      <c r="JN80" s="55"/>
      <c r="JO80" s="55"/>
      <c r="JP80" s="55"/>
      <c r="JQ80" s="55"/>
      <c r="JR80" s="55"/>
      <c r="JS80" s="55"/>
      <c r="JT80" s="55"/>
      <c r="JU80" s="55"/>
      <c r="JV80" s="55"/>
      <c r="JW80" s="55"/>
      <c r="JX80" s="55"/>
      <c r="JY80" s="55"/>
      <c r="JZ80" s="55"/>
      <c r="KA80" s="55"/>
      <c r="KB80" s="55"/>
      <c r="KC80" s="55"/>
      <c r="KD80" s="55"/>
      <c r="KE80" s="55"/>
      <c r="KF80" s="55"/>
      <c r="KG80" s="55"/>
      <c r="KH80" s="55"/>
      <c r="KI80" s="55"/>
      <c r="KJ80" s="55"/>
      <c r="KK80" s="55"/>
      <c r="KL80" s="55"/>
      <c r="KM80" s="55"/>
      <c r="KN80" s="55"/>
      <c r="KO80" s="55"/>
      <c r="KP80" s="55"/>
      <c r="KQ80" s="55"/>
      <c r="KR80" s="55"/>
      <c r="KS80" s="55"/>
      <c r="KT80" s="55"/>
      <c r="KU80" s="55"/>
      <c r="KV80" s="55"/>
      <c r="KW80" s="55"/>
      <c r="KX80" s="55"/>
      <c r="KY80" s="55"/>
      <c r="KZ80" s="55"/>
      <c r="LA80" s="55"/>
      <c r="LB80" s="55"/>
      <c r="LC80" s="55"/>
      <c r="LD80" s="55"/>
      <c r="LE80" s="55"/>
      <c r="LF80" s="55"/>
      <c r="LG80" s="55"/>
      <c r="LH80" s="55"/>
      <c r="LI80" s="55"/>
      <c r="LJ80" s="55"/>
      <c r="LK80" s="55"/>
      <c r="LL80" s="55"/>
      <c r="LM80" s="55"/>
      <c r="LN80" s="55"/>
      <c r="LO80" s="55"/>
      <c r="LP80" s="55"/>
      <c r="LQ80" s="55"/>
      <c r="LR80" s="55"/>
      <c r="LS80" s="55"/>
      <c r="LT80" s="55"/>
      <c r="LU80" s="55"/>
      <c r="LV80" s="55"/>
      <c r="LW80" s="55"/>
      <c r="LX80" s="55"/>
      <c r="LY80" s="55"/>
      <c r="LZ80" s="55"/>
      <c r="MA80" s="55"/>
      <c r="MB80" s="55"/>
      <c r="MC80" s="55"/>
      <c r="MD80" s="55"/>
      <c r="ME80" s="55"/>
      <c r="MF80" s="55"/>
      <c r="MG80" s="55"/>
      <c r="MH80" s="55"/>
      <c r="MI80" s="55"/>
      <c r="MJ80" s="55"/>
      <c r="MK80" s="55"/>
      <c r="ML80" s="55"/>
      <c r="MM80" s="55"/>
      <c r="MN80" s="55"/>
      <c r="MO80" s="55"/>
      <c r="MP80" s="55"/>
      <c r="MQ80" s="55"/>
      <c r="MR80" s="55"/>
      <c r="MS80" s="55"/>
      <c r="MT80" s="55"/>
      <c r="MU80" s="55"/>
      <c r="MV80" s="55"/>
      <c r="MW80" s="55"/>
      <c r="MX80" s="55"/>
      <c r="MY80" s="55"/>
      <c r="MZ80" s="55"/>
      <c r="NA80" s="55"/>
      <c r="NB80" s="55"/>
      <c r="NC80" s="55"/>
      <c r="ND80" s="55"/>
      <c r="NE80" s="55"/>
      <c r="NF80" s="55"/>
      <c r="NG80" s="55"/>
      <c r="NH80" s="55"/>
      <c r="NI80" s="55"/>
      <c r="NJ80" s="55"/>
      <c r="NK80" s="55"/>
      <c r="NL80" s="55"/>
      <c r="NM80" s="55"/>
      <c r="NN80" s="55"/>
      <c r="NO80" s="55"/>
      <c r="NP80" s="55"/>
      <c r="NQ80" s="55"/>
      <c r="NR80" s="55"/>
      <c r="NS80" s="55"/>
      <c r="NT80" s="55"/>
      <c r="NU80" s="55"/>
      <c r="NV80" s="55"/>
      <c r="NW80" s="55"/>
      <c r="NX80" s="55"/>
      <c r="NY80" s="55"/>
      <c r="NZ80" s="55"/>
      <c r="OA80" s="55"/>
      <c r="OB80" s="55"/>
      <c r="OC80" s="55"/>
      <c r="OD80" s="55"/>
      <c r="OE80" s="55"/>
      <c r="OF80" s="55"/>
      <c r="OG80" s="55"/>
      <c r="OH80" s="55"/>
      <c r="OI80" s="55"/>
      <c r="OJ80" s="55"/>
      <c r="OK80" s="55"/>
      <c r="OL80" s="55"/>
      <c r="OM80" s="55"/>
      <c r="ON80" s="55"/>
      <c r="OO80" s="55"/>
      <c r="OP80" s="55"/>
      <c r="OQ80" s="55"/>
      <c r="OR80" s="55"/>
      <c r="OS80" s="55"/>
      <c r="OT80" s="55"/>
      <c r="OU80" s="55"/>
      <c r="OV80" s="55"/>
      <c r="OW80" s="55"/>
      <c r="OX80" s="55"/>
      <c r="OY80" s="55"/>
      <c r="OZ80" s="55"/>
      <c r="PA80" s="55"/>
      <c r="PB80" s="55"/>
      <c r="PC80" s="55"/>
      <c r="PD80" s="55"/>
      <c r="PE80" s="55"/>
      <c r="PF80" s="55"/>
      <c r="PG80" s="55"/>
      <c r="PH80" s="55"/>
      <c r="PI80" s="55"/>
      <c r="PJ80" s="55"/>
      <c r="PK80" s="55"/>
      <c r="PL80" s="55"/>
      <c r="PM80" s="55"/>
      <c r="PN80" s="55"/>
      <c r="PO80" s="55"/>
      <c r="PP80" s="55"/>
      <c r="PQ80" s="55"/>
      <c r="PR80" s="55"/>
      <c r="PS80" s="55"/>
      <c r="PT80" s="55"/>
      <c r="PU80" s="55"/>
      <c r="PV80" s="55"/>
      <c r="PW80" s="55"/>
      <c r="PX80" s="55"/>
      <c r="PY80" s="55"/>
      <c r="PZ80" s="55"/>
      <c r="QA80" s="55"/>
      <c r="QB80" s="55"/>
      <c r="QC80" s="55"/>
      <c r="QD80" s="55"/>
      <c r="QE80" s="55"/>
      <c r="QF80" s="55"/>
      <c r="QG80" s="55"/>
      <c r="QH80" s="55"/>
      <c r="QI80" s="55"/>
      <c r="QJ80" s="55"/>
      <c r="QK80" s="55"/>
      <c r="QL80" s="55"/>
      <c r="QM80" s="55"/>
      <c r="QN80" s="55"/>
      <c r="QO80" s="55"/>
      <c r="QP80" s="55"/>
      <c r="QQ80" s="55"/>
      <c r="QR80" s="55"/>
      <c r="QS80" s="55"/>
      <c r="QT80" s="55"/>
      <c r="QU80" s="55"/>
      <c r="QV80" s="55"/>
      <c r="QW80" s="55"/>
      <c r="QX80" s="55"/>
      <c r="QY80" s="55"/>
      <c r="QZ80" s="55"/>
      <c r="RA80" s="55"/>
      <c r="RB80" s="55"/>
      <c r="RC80" s="55"/>
      <c r="RD80" s="55"/>
      <c r="RE80" s="55"/>
      <c r="RF80" s="55"/>
      <c r="RG80" s="55"/>
      <c r="RH80" s="55"/>
      <c r="RI80" s="55"/>
      <c r="RJ80" s="55"/>
      <c r="RK80" s="55"/>
      <c r="RL80" s="55"/>
      <c r="RM80" s="55"/>
      <c r="RN80" s="55"/>
      <c r="RO80" s="55"/>
      <c r="RP80" s="55"/>
      <c r="RQ80" s="55"/>
      <c r="RR80" s="55"/>
      <c r="RS80" s="55"/>
      <c r="RT80" s="55"/>
      <c r="RU80" s="55"/>
      <c r="RV80" s="55"/>
      <c r="RW80" s="55"/>
      <c r="RX80" s="55"/>
      <c r="RY80" s="55"/>
      <c r="RZ80" s="55"/>
      <c r="SA80" s="55"/>
      <c r="SB80" s="55"/>
      <c r="SC80" s="55"/>
      <c r="SD80" s="55"/>
      <c r="SE80" s="55"/>
      <c r="SF80" s="55"/>
      <c r="SG80" s="55"/>
      <c r="SH80" s="55"/>
      <c r="SI80" s="55"/>
      <c r="SJ80" s="55"/>
      <c r="SK80" s="55"/>
      <c r="SL80" s="55"/>
      <c r="SM80" s="55"/>
      <c r="SN80" s="55"/>
      <c r="SO80" s="55"/>
      <c r="SP80" s="55"/>
      <c r="SQ80" s="55"/>
      <c r="SR80" s="55"/>
      <c r="SS80" s="55"/>
      <c r="ST80" s="55"/>
      <c r="SU80" s="55"/>
      <c r="SV80" s="55"/>
      <c r="SW80" s="55"/>
      <c r="SX80" s="55"/>
      <c r="SY80" s="55"/>
      <c r="SZ80" s="55"/>
      <c r="TA80" s="55"/>
      <c r="TB80" s="55"/>
      <c r="TC80" s="55"/>
      <c r="TD80" s="55"/>
      <c r="TE80" s="55"/>
      <c r="TF80" s="55"/>
      <c r="TG80" s="55"/>
      <c r="TH80" s="55"/>
      <c r="TI80" s="55"/>
      <c r="TJ80" s="55"/>
      <c r="TK80" s="55"/>
      <c r="TL80" s="55"/>
      <c r="TM80" s="55"/>
      <c r="TN80" s="55"/>
      <c r="TO80" s="55"/>
      <c r="TP80" s="55"/>
      <c r="TQ80" s="55"/>
      <c r="TR80" s="55"/>
      <c r="TS80" s="55"/>
      <c r="TT80" s="55"/>
      <c r="TU80" s="55"/>
      <c r="TV80" s="55"/>
      <c r="TW80" s="55"/>
      <c r="TX80" s="55"/>
      <c r="TY80" s="55"/>
      <c r="TZ80" s="55"/>
      <c r="UA80" s="55"/>
      <c r="UB80" s="55"/>
      <c r="UC80" s="55"/>
      <c r="UD80" s="55"/>
      <c r="UE80" s="55"/>
      <c r="UF80" s="55"/>
      <c r="UG80" s="55"/>
      <c r="UH80" s="55"/>
      <c r="UI80" s="55"/>
      <c r="UJ80" s="55"/>
      <c r="UK80" s="55"/>
      <c r="UL80" s="55"/>
      <c r="UM80" s="55"/>
      <c r="UN80" s="55"/>
      <c r="UO80" s="55"/>
      <c r="UP80" s="55"/>
      <c r="UQ80" s="55"/>
      <c r="UR80" s="55"/>
      <c r="US80" s="55"/>
      <c r="UT80" s="55"/>
      <c r="UU80" s="55"/>
      <c r="UV80" s="55"/>
      <c r="UW80" s="55"/>
      <c r="UX80" s="55"/>
      <c r="UY80" s="55"/>
      <c r="UZ80" s="55"/>
      <c r="VA80" s="55"/>
      <c r="VB80" s="55"/>
      <c r="VC80" s="55"/>
      <c r="VD80" s="55"/>
      <c r="VE80" s="55"/>
      <c r="VF80" s="55"/>
      <c r="VG80" s="55"/>
      <c r="VH80" s="55"/>
      <c r="VI80" s="55"/>
      <c r="VJ80" s="55"/>
      <c r="VK80" s="55"/>
      <c r="VL80" s="55"/>
      <c r="VM80" s="55"/>
      <c r="VN80" s="55"/>
      <c r="VO80" s="55"/>
      <c r="VP80" s="55"/>
      <c r="VQ80" s="55"/>
      <c r="VR80" s="55"/>
      <c r="VS80" s="55"/>
      <c r="VT80" s="55"/>
      <c r="VU80" s="55"/>
      <c r="VV80" s="55"/>
      <c r="VW80" s="55"/>
      <c r="VX80" s="55"/>
      <c r="VY80" s="55"/>
      <c r="VZ80" s="55"/>
      <c r="WA80" s="55"/>
      <c r="WB80" s="55"/>
      <c r="WC80" s="55"/>
      <c r="WD80" s="55"/>
      <c r="WE80" s="55"/>
      <c r="WF80" s="55"/>
      <c r="WG80" s="55"/>
      <c r="WH80" s="55"/>
      <c r="WI80" s="55"/>
      <c r="WJ80" s="55"/>
      <c r="WK80" s="55"/>
      <c r="WL80" s="55"/>
      <c r="WM80" s="55"/>
      <c r="WN80" s="55"/>
      <c r="WO80" s="55"/>
      <c r="WP80" s="55"/>
      <c r="WQ80" s="55"/>
      <c r="WR80" s="55"/>
      <c r="WS80" s="55"/>
      <c r="WT80" s="55"/>
      <c r="WU80" s="55"/>
      <c r="WV80" s="55"/>
      <c r="WW80" s="55"/>
      <c r="WX80" s="55"/>
      <c r="WY80" s="55"/>
      <c r="WZ80" s="55"/>
      <c r="XA80" s="55"/>
      <c r="XB80" s="55"/>
      <c r="XC80" s="55"/>
      <c r="XD80" s="55"/>
      <c r="XE80" s="55"/>
      <c r="XF80" s="55"/>
      <c r="XG80" s="55"/>
      <c r="XH80" s="55"/>
      <c r="XI80" s="55"/>
      <c r="XJ80" s="55"/>
      <c r="XK80" s="55"/>
      <c r="XL80" s="55"/>
      <c r="XM80" s="55"/>
      <c r="XN80" s="55"/>
      <c r="XO80" s="55"/>
      <c r="XP80" s="55"/>
      <c r="XQ80" s="55"/>
      <c r="XR80" s="55"/>
      <c r="XS80" s="55"/>
      <c r="XT80" s="55"/>
      <c r="XU80" s="55"/>
      <c r="XV80" s="55"/>
      <c r="XW80" s="55"/>
      <c r="XX80" s="55"/>
      <c r="XY80" s="55"/>
      <c r="XZ80" s="55"/>
      <c r="YA80" s="55"/>
      <c r="YB80" s="55"/>
      <c r="YC80" s="55"/>
      <c r="YD80" s="55"/>
      <c r="YE80" s="55"/>
      <c r="YF80" s="55"/>
      <c r="YG80" s="55"/>
      <c r="YH80" s="55"/>
      <c r="YI80" s="55"/>
      <c r="YJ80" s="55"/>
      <c r="YK80" s="55"/>
      <c r="YL80" s="55"/>
      <c r="YM80" s="55"/>
      <c r="YN80" s="55"/>
      <c r="YO80" s="55"/>
      <c r="YP80" s="55"/>
      <c r="YQ80" s="55"/>
      <c r="YR80" s="55"/>
      <c r="YS80" s="55"/>
      <c r="YT80" s="55"/>
      <c r="YU80" s="55"/>
      <c r="YV80" s="55"/>
      <c r="YW80" s="55"/>
      <c r="YX80" s="55"/>
      <c r="YY80" s="55"/>
      <c r="YZ80" s="55"/>
      <c r="ZA80" s="55"/>
      <c r="ZB80" s="55"/>
      <c r="ZC80" s="55"/>
      <c r="ZD80" s="55"/>
      <c r="ZE80" s="55"/>
      <c r="ZF80" s="55"/>
      <c r="ZG80" s="55"/>
      <c r="ZH80" s="55"/>
      <c r="ZI80" s="55"/>
      <c r="ZJ80" s="55"/>
      <c r="ZK80" s="55"/>
      <c r="ZL80" s="55"/>
      <c r="ZM80" s="55"/>
      <c r="ZN80" s="55"/>
      <c r="ZO80" s="55"/>
      <c r="ZP80" s="55"/>
      <c r="ZQ80" s="55"/>
      <c r="ZR80" s="55"/>
      <c r="ZS80" s="55"/>
      <c r="ZT80" s="55"/>
      <c r="ZU80" s="55"/>
      <c r="ZV80" s="55"/>
      <c r="ZW80" s="55"/>
      <c r="ZX80" s="55"/>
      <c r="ZY80" s="55"/>
      <c r="ZZ80" s="55"/>
      <c r="AAA80" s="55"/>
      <c r="AAB80" s="55"/>
      <c r="AAC80" s="55"/>
      <c r="AAD80" s="55"/>
      <c r="AAE80" s="55"/>
      <c r="AAF80" s="55"/>
      <c r="AAG80" s="55"/>
      <c r="AAH80" s="55"/>
      <c r="AAI80" s="55"/>
      <c r="AAJ80" s="55"/>
      <c r="AAK80" s="55"/>
      <c r="AAL80" s="55"/>
      <c r="AAM80" s="55"/>
      <c r="AAN80" s="55"/>
      <c r="AAO80" s="55"/>
      <c r="AAP80" s="55"/>
      <c r="AAQ80" s="55"/>
      <c r="AAR80" s="55"/>
      <c r="AAS80" s="55"/>
      <c r="AAT80" s="55"/>
      <c r="AAU80" s="55"/>
      <c r="AAV80" s="55"/>
      <c r="AAW80" s="55"/>
      <c r="AAX80" s="55"/>
      <c r="AAY80" s="55"/>
      <c r="AAZ80" s="55"/>
      <c r="ABA80" s="55"/>
      <c r="ABB80" s="55"/>
      <c r="ABC80" s="55"/>
      <c r="ABD80" s="55"/>
      <c r="ABE80" s="55"/>
      <c r="ABF80" s="55"/>
      <c r="ABG80" s="55"/>
      <c r="ABH80" s="55"/>
      <c r="ABI80" s="55"/>
      <c r="ABJ80" s="55"/>
      <c r="ABK80" s="55"/>
      <c r="ABL80" s="55"/>
      <c r="ABM80" s="55"/>
      <c r="ABN80" s="55"/>
      <c r="ABO80" s="55"/>
      <c r="ABP80" s="55"/>
      <c r="ABQ80" s="55"/>
      <c r="ABR80" s="55"/>
      <c r="ABS80" s="55"/>
      <c r="ABT80" s="55"/>
      <c r="ABU80" s="55"/>
      <c r="ABV80" s="55"/>
      <c r="ABW80" s="55"/>
      <c r="ABX80" s="55"/>
      <c r="ABY80" s="55"/>
      <c r="ABZ80" s="55"/>
      <c r="ACA80" s="55"/>
      <c r="ACB80" s="55"/>
      <c r="ACC80" s="55"/>
      <c r="ACD80" s="55"/>
      <c r="ACE80" s="55"/>
      <c r="ACF80" s="55"/>
      <c r="ACG80" s="55"/>
      <c r="ACH80" s="55"/>
      <c r="ACI80" s="55"/>
      <c r="ACJ80" s="55"/>
      <c r="ACK80" s="55"/>
      <c r="ACL80" s="55"/>
      <c r="ACM80" s="55"/>
      <c r="ACN80" s="55"/>
      <c r="ACO80" s="55"/>
      <c r="ACP80" s="55"/>
      <c r="ACQ80" s="55"/>
      <c r="ACR80" s="55"/>
      <c r="ACS80" s="55"/>
      <c r="ACT80" s="55"/>
      <c r="ACU80" s="55"/>
      <c r="ACV80" s="55"/>
      <c r="ACW80" s="55"/>
      <c r="ACX80" s="55"/>
      <c r="ACY80" s="55"/>
      <c r="ACZ80" s="55"/>
      <c r="ADA80" s="55"/>
      <c r="ADB80" s="55"/>
      <c r="ADC80" s="55"/>
      <c r="ADD80" s="55"/>
      <c r="ADE80" s="55"/>
      <c r="ADF80" s="55"/>
      <c r="ADG80" s="55"/>
      <c r="ADH80" s="55"/>
      <c r="ADI80" s="55"/>
      <c r="ADJ80" s="55"/>
      <c r="ADK80" s="55"/>
      <c r="ADL80" s="55"/>
      <c r="ADM80" s="55"/>
      <c r="ADN80" s="55"/>
      <c r="ADO80" s="55"/>
      <c r="ADP80" s="55"/>
      <c r="ADQ80" s="55"/>
      <c r="ADR80" s="55"/>
      <c r="ADS80" s="55"/>
      <c r="ADT80" s="55"/>
      <c r="ADU80" s="55"/>
      <c r="ADV80" s="55"/>
      <c r="ADW80" s="55"/>
      <c r="ADX80" s="55"/>
      <c r="ADY80" s="55"/>
      <c r="ADZ80" s="55"/>
      <c r="AEA80" s="55"/>
      <c r="AEB80" s="55"/>
      <c r="AEC80" s="55"/>
      <c r="AED80" s="55"/>
      <c r="AEE80" s="55"/>
      <c r="AEF80" s="55"/>
      <c r="AEG80" s="55"/>
      <c r="AEH80" s="55"/>
      <c r="AEI80" s="55"/>
      <c r="AEJ80" s="55"/>
      <c r="AEK80" s="55"/>
      <c r="AEL80" s="55"/>
      <c r="AEM80" s="55"/>
      <c r="AEN80" s="55"/>
      <c r="AEO80" s="55"/>
      <c r="AEP80" s="55"/>
      <c r="AEQ80" s="55"/>
      <c r="AER80" s="55"/>
      <c r="AES80" s="55"/>
      <c r="AET80" s="55"/>
      <c r="AEU80" s="55"/>
      <c r="AEV80" s="55"/>
      <c r="AEW80" s="55"/>
      <c r="AEX80" s="55"/>
      <c r="AEY80" s="55"/>
      <c r="AEZ80" s="55"/>
      <c r="AFA80" s="55"/>
      <c r="AFB80" s="55"/>
      <c r="AFC80" s="55"/>
      <c r="AFD80" s="55"/>
      <c r="AFE80" s="55"/>
      <c r="AFF80" s="55"/>
      <c r="AFG80" s="55"/>
      <c r="AFH80" s="55"/>
      <c r="AFI80" s="55"/>
      <c r="AFJ80" s="55"/>
      <c r="AFK80" s="55"/>
      <c r="AFL80" s="55"/>
      <c r="AFM80" s="55"/>
      <c r="AFN80" s="55"/>
      <c r="AFO80" s="55"/>
      <c r="AFP80" s="55"/>
      <c r="AFQ80" s="55"/>
      <c r="AFR80" s="55"/>
      <c r="AFS80" s="55"/>
      <c r="AFT80" s="55"/>
      <c r="AFU80" s="55"/>
      <c r="AFV80" s="55"/>
      <c r="AFW80" s="55"/>
      <c r="AFX80" s="55"/>
      <c r="AFY80" s="55"/>
      <c r="AFZ80" s="55"/>
      <c r="AGA80" s="55"/>
      <c r="AGB80" s="55"/>
      <c r="AGC80" s="55"/>
      <c r="AGD80" s="55"/>
      <c r="AGE80" s="55"/>
      <c r="AGF80" s="55"/>
      <c r="AGG80" s="55"/>
      <c r="AGH80" s="55"/>
      <c r="AGI80" s="55"/>
      <c r="AGJ80" s="55"/>
      <c r="AGK80" s="55"/>
      <c r="AGL80" s="55"/>
      <c r="AGM80" s="55"/>
      <c r="AGN80" s="55"/>
      <c r="AGO80" s="55"/>
      <c r="AGP80" s="55"/>
      <c r="AGQ80" s="55"/>
      <c r="AGR80" s="55"/>
      <c r="AGS80" s="55"/>
      <c r="AGT80" s="55"/>
      <c r="AGU80" s="55"/>
      <c r="AGV80" s="55"/>
      <c r="AGW80" s="55"/>
      <c r="AGX80" s="55"/>
      <c r="AGY80" s="55"/>
      <c r="AGZ80" s="55"/>
      <c r="AHA80" s="55"/>
      <c r="AHB80" s="55"/>
      <c r="AHC80" s="55"/>
      <c r="AHD80" s="55"/>
      <c r="AHE80" s="55"/>
      <c r="AHF80" s="55"/>
      <c r="AHG80" s="55"/>
      <c r="AHH80" s="55"/>
      <c r="AHI80" s="55"/>
      <c r="AHJ80" s="55"/>
      <c r="AHK80" s="55"/>
      <c r="AHL80" s="55"/>
      <c r="AHM80" s="55"/>
      <c r="AHN80" s="55"/>
      <c r="AHO80" s="55"/>
      <c r="AHP80" s="55"/>
      <c r="AHQ80" s="55"/>
      <c r="AHR80" s="55"/>
      <c r="AHS80" s="55"/>
      <c r="AHT80" s="55"/>
      <c r="AHU80" s="55"/>
      <c r="AHV80" s="55"/>
      <c r="AHW80" s="55"/>
      <c r="AHX80" s="55"/>
      <c r="AHY80" s="55"/>
      <c r="AHZ80" s="55"/>
      <c r="AIA80" s="55"/>
      <c r="AIB80" s="55"/>
      <c r="AIC80" s="55"/>
      <c r="AID80" s="55"/>
      <c r="AIE80" s="55"/>
      <c r="AIF80" s="55"/>
      <c r="AIG80" s="55"/>
      <c r="AIH80" s="55"/>
      <c r="AII80" s="55"/>
      <c r="AIJ80" s="55"/>
      <c r="AIK80" s="55"/>
      <c r="AIL80" s="55"/>
      <c r="AIM80" s="55"/>
      <c r="AIN80" s="55"/>
      <c r="AIO80" s="55"/>
      <c r="AIP80" s="55"/>
      <c r="AIQ80" s="55"/>
      <c r="AIR80" s="55"/>
      <c r="AIS80" s="55"/>
      <c r="AIT80" s="55"/>
      <c r="AIU80" s="55"/>
      <c r="AIV80" s="55"/>
      <c r="AIW80" s="55"/>
      <c r="AIX80" s="55"/>
      <c r="AIY80" s="55"/>
      <c r="AIZ80" s="55"/>
      <c r="AJA80" s="55"/>
      <c r="AJB80" s="55"/>
      <c r="AJC80" s="55"/>
      <c r="AJD80" s="55"/>
      <c r="AJE80" s="55"/>
      <c r="AJF80" s="55"/>
      <c r="AJG80" s="55"/>
      <c r="AJH80" s="55"/>
      <c r="AJI80" s="55"/>
      <c r="AJJ80" s="55"/>
      <c r="AJK80" s="55"/>
      <c r="AJL80" s="55"/>
      <c r="AJM80" s="55"/>
      <c r="AJN80" s="55"/>
      <c r="AJO80" s="55"/>
      <c r="AJP80" s="55"/>
      <c r="AJQ80" s="55"/>
      <c r="AJR80" s="55"/>
      <c r="AJS80" s="55"/>
      <c r="AJT80" s="55"/>
      <c r="AJU80" s="55"/>
      <c r="AJV80" s="55"/>
      <c r="AJW80" s="55"/>
      <c r="AJX80" s="55"/>
      <c r="AJY80" s="55"/>
      <c r="AJZ80" s="55"/>
      <c r="AKA80" s="55"/>
      <c r="AKB80" s="55"/>
      <c r="AKC80" s="55"/>
      <c r="AKD80" s="55"/>
      <c r="AKE80" s="55"/>
      <c r="AKF80" s="55"/>
      <c r="AKG80" s="55"/>
      <c r="AKH80" s="55"/>
      <c r="AKI80" s="55"/>
      <c r="AKJ80" s="55"/>
      <c r="AKK80" s="55"/>
      <c r="AKL80" s="55"/>
      <c r="AKM80" s="55"/>
      <c r="AKN80" s="55"/>
      <c r="AKO80" s="55"/>
      <c r="AKP80" s="55"/>
      <c r="AKQ80" s="55"/>
      <c r="AKR80" s="55"/>
      <c r="AKS80" s="55"/>
      <c r="AKT80" s="55"/>
      <c r="AKU80" s="55"/>
      <c r="AKV80" s="55"/>
      <c r="AKW80" s="55"/>
      <c r="AKX80" s="55"/>
      <c r="AKY80" s="55"/>
      <c r="AKZ80" s="55"/>
      <c r="ALA80" s="55"/>
      <c r="ALB80" s="55"/>
      <c r="ALC80" s="55"/>
      <c r="ALD80" s="55"/>
      <c r="ALE80" s="55"/>
      <c r="ALF80" s="55"/>
      <c r="ALG80" s="55"/>
      <c r="ALH80" s="55"/>
      <c r="ALI80" s="55"/>
      <c r="ALJ80" s="55"/>
      <c r="ALK80" s="55"/>
      <c r="ALL80" s="55"/>
      <c r="ALM80" s="55"/>
      <c r="ALN80" s="55"/>
      <c r="ALO80" s="55"/>
      <c r="ALP80" s="55"/>
      <c r="ALQ80" s="55"/>
      <c r="ALR80" s="55"/>
      <c r="ALS80" s="55"/>
      <c r="ALT80" s="55"/>
      <c r="ALU80" s="55"/>
      <c r="ALV80" s="55"/>
      <c r="ALW80" s="55"/>
      <c r="ALX80" s="55"/>
      <c r="ALY80" s="55"/>
      <c r="ALZ80" s="55"/>
      <c r="AMA80" s="55"/>
      <c r="AMB80" s="55"/>
      <c r="AMC80" s="55"/>
      <c r="AMD80" s="55"/>
      <c r="AME80" s="55"/>
      <c r="AMF80" s="55"/>
      <c r="AMG80" s="55"/>
      <c r="AMH80" s="55"/>
      <c r="AMI80" s="55"/>
      <c r="AMJ80" s="55"/>
    </row>
    <row r="81" spans="1:1024" s="73" customFormat="1" ht="20.100000000000001" customHeight="1" x14ac:dyDescent="0.2">
      <c r="A81" s="960" t="s">
        <v>156</v>
      </c>
      <c r="B81" s="960"/>
      <c r="C81" s="960"/>
      <c r="D81" s="960"/>
      <c r="E81" s="491"/>
      <c r="F81" s="77"/>
      <c r="H81" s="78"/>
      <c r="J81" s="70"/>
      <c r="K81" s="70"/>
      <c r="L81" s="70"/>
      <c r="M81" s="70"/>
      <c r="N81" s="70"/>
      <c r="O81" s="70"/>
      <c r="P81" s="70"/>
      <c r="Q81" s="70"/>
      <c r="R81" s="70"/>
      <c r="S81" s="70"/>
      <c r="T81" s="72"/>
      <c r="U81" s="72"/>
      <c r="V81" s="72"/>
      <c r="W81" s="72"/>
      <c r="X81" s="72"/>
    </row>
    <row r="82" spans="1:1024" s="73" customFormat="1" ht="30" customHeight="1" x14ac:dyDescent="0.2">
      <c r="A82" s="960" t="s">
        <v>382</v>
      </c>
      <c r="B82" s="960"/>
      <c r="C82" s="960"/>
      <c r="D82" s="960"/>
      <c r="E82" s="960"/>
      <c r="F82" s="960"/>
      <c r="G82" s="960"/>
      <c r="H82" s="960"/>
      <c r="I82" s="960"/>
      <c r="J82" s="70"/>
      <c r="K82" s="70"/>
      <c r="L82" s="70"/>
      <c r="M82" s="70"/>
      <c r="N82" s="70"/>
      <c r="O82" s="70"/>
      <c r="P82" s="70"/>
      <c r="Q82" s="70"/>
      <c r="R82" s="70"/>
      <c r="S82" s="70"/>
      <c r="T82" s="72"/>
      <c r="U82" s="72"/>
      <c r="V82" s="72"/>
      <c r="W82" s="72"/>
      <c r="X82" s="72"/>
    </row>
    <row r="83" spans="1:1024" s="73" customFormat="1" ht="30" customHeight="1" x14ac:dyDescent="0.2">
      <c r="A83" s="956" t="s">
        <v>171</v>
      </c>
      <c r="B83" s="956"/>
      <c r="C83" s="956"/>
      <c r="D83" s="956"/>
      <c r="E83" s="956"/>
      <c r="F83" s="956"/>
      <c r="G83" s="956"/>
      <c r="H83" s="956"/>
      <c r="I83" s="956"/>
      <c r="J83" s="72"/>
      <c r="K83" s="72"/>
      <c r="L83" s="72"/>
      <c r="M83" s="72"/>
      <c r="N83" s="72"/>
      <c r="O83" s="72"/>
      <c r="P83" s="72"/>
      <c r="Q83" s="72"/>
      <c r="R83" s="70"/>
      <c r="S83" s="70"/>
      <c r="T83" s="80"/>
      <c r="U83" s="81"/>
      <c r="V83" s="72"/>
      <c r="W83" s="72"/>
      <c r="X83" s="72"/>
    </row>
    <row r="84" spans="1:1024" s="207" customFormat="1" ht="30" customHeight="1" x14ac:dyDescent="0.2">
      <c r="A84" s="956" t="s">
        <v>322</v>
      </c>
      <c r="B84" s="956"/>
      <c r="C84" s="956"/>
      <c r="D84" s="956"/>
      <c r="E84" s="956"/>
      <c r="F84" s="956"/>
      <c r="G84" s="956"/>
      <c r="H84" s="956"/>
      <c r="I84" s="956"/>
      <c r="J84" s="70"/>
      <c r="K84" s="70"/>
      <c r="L84" s="70"/>
      <c r="M84" s="70"/>
      <c r="N84" s="70"/>
      <c r="O84" s="70"/>
      <c r="P84" s="70"/>
      <c r="Q84" s="70"/>
      <c r="R84" s="70"/>
      <c r="S84" s="70"/>
      <c r="T84" s="492"/>
      <c r="U84" s="493"/>
      <c r="V84" s="70"/>
      <c r="W84" s="70"/>
      <c r="X84" s="70"/>
    </row>
    <row r="85" spans="1:1024" s="55" customFormat="1" ht="20.100000000000001" customHeight="1" x14ac:dyDescent="0.2">
      <c r="A85" s="961" t="s">
        <v>157</v>
      </c>
      <c r="B85" s="961"/>
      <c r="C85" s="961"/>
      <c r="D85" s="961"/>
      <c r="E85" s="961"/>
      <c r="F85" s="961"/>
      <c r="G85" s="961"/>
      <c r="H85" s="961"/>
      <c r="I85" s="961"/>
      <c r="J85" s="79"/>
      <c r="K85" s="79"/>
      <c r="L85" s="79"/>
      <c r="M85" s="79"/>
      <c r="N85" s="79"/>
      <c r="O85" s="79"/>
      <c r="P85" s="79"/>
      <c r="Q85" s="79"/>
      <c r="R85" s="79"/>
    </row>
    <row r="86" spans="1:1024" s="55" customFormat="1" ht="30" customHeight="1" x14ac:dyDescent="0.2">
      <c r="A86" s="961" t="s">
        <v>323</v>
      </c>
      <c r="B86" s="961"/>
      <c r="C86" s="961"/>
      <c r="D86" s="961"/>
      <c r="E86" s="961"/>
      <c r="F86" s="961"/>
      <c r="G86" s="961"/>
      <c r="H86" s="961"/>
      <c r="I86" s="961"/>
      <c r="J86" s="79"/>
      <c r="K86" s="79"/>
      <c r="L86" s="79"/>
      <c r="M86" s="79"/>
      <c r="N86" s="79"/>
      <c r="O86" s="79"/>
      <c r="P86" s="79"/>
      <c r="Q86" s="79"/>
      <c r="R86" s="79"/>
    </row>
    <row r="87" spans="1:1024" s="76" customFormat="1" ht="20.100000000000001" customHeight="1" x14ac:dyDescent="0.2">
      <c r="A87" s="962" t="s">
        <v>212</v>
      </c>
      <c r="B87" s="962"/>
      <c r="C87" s="962"/>
      <c r="D87" s="962"/>
      <c r="E87" s="962"/>
      <c r="F87" s="962"/>
      <c r="G87" s="962"/>
      <c r="H87" s="962"/>
      <c r="I87" s="962"/>
      <c r="J87" s="79"/>
      <c r="K87" s="79"/>
      <c r="L87" s="79"/>
      <c r="M87" s="79"/>
      <c r="N87" s="79"/>
      <c r="O87" s="79"/>
      <c r="P87" s="79"/>
      <c r="Q87" s="79"/>
      <c r="R87" s="79"/>
      <c r="S87" s="55"/>
      <c r="T87" s="55"/>
      <c r="U87" s="55"/>
      <c r="V87" s="55"/>
      <c r="W87" s="55"/>
      <c r="X87" s="55"/>
      <c r="Y87" s="55"/>
      <c r="Z87" s="55"/>
      <c r="AA87" s="55"/>
      <c r="AB87" s="55"/>
      <c r="AC87" s="55"/>
      <c r="AD87" s="55"/>
      <c r="AE87" s="55"/>
      <c r="AF87" s="55"/>
      <c r="AG87" s="55"/>
      <c r="AH87" s="55"/>
      <c r="AI87" s="55"/>
      <c r="AJ87" s="55"/>
      <c r="AK87" s="55"/>
      <c r="AL87" s="55"/>
      <c r="AM87" s="55"/>
      <c r="AN87" s="55"/>
      <c r="AO87" s="55"/>
      <c r="AP87" s="55"/>
      <c r="AQ87" s="55"/>
      <c r="AR87" s="55"/>
      <c r="AS87" s="55"/>
      <c r="AT87" s="55"/>
      <c r="AU87" s="55"/>
      <c r="AV87" s="55"/>
      <c r="AW87" s="55"/>
      <c r="AX87" s="55"/>
      <c r="AY87" s="55"/>
      <c r="AZ87" s="55"/>
      <c r="BA87" s="55"/>
      <c r="BB87" s="55"/>
      <c r="BC87" s="55"/>
      <c r="BD87" s="55"/>
      <c r="BE87" s="55"/>
      <c r="BF87" s="55"/>
      <c r="BG87" s="55"/>
      <c r="BH87" s="55"/>
      <c r="BI87" s="55"/>
      <c r="BJ87" s="55"/>
      <c r="BK87" s="55"/>
      <c r="BL87" s="55"/>
      <c r="BM87" s="55"/>
      <c r="BN87" s="55"/>
      <c r="BO87" s="55"/>
      <c r="BP87" s="55"/>
      <c r="BQ87" s="55"/>
      <c r="BR87" s="55"/>
      <c r="BS87" s="55"/>
      <c r="BT87" s="55"/>
      <c r="BU87" s="55"/>
      <c r="BV87" s="55"/>
      <c r="BW87" s="55"/>
      <c r="BX87" s="55"/>
      <c r="BY87" s="55"/>
      <c r="BZ87" s="55"/>
      <c r="CA87" s="55"/>
      <c r="CB87" s="55"/>
      <c r="CC87" s="55"/>
      <c r="CD87" s="55"/>
      <c r="CE87" s="55"/>
      <c r="CF87" s="55"/>
      <c r="CG87" s="55"/>
      <c r="CH87" s="55"/>
      <c r="CI87" s="55"/>
      <c r="CJ87" s="55"/>
      <c r="CK87" s="55"/>
      <c r="CL87" s="55"/>
      <c r="CM87" s="55"/>
      <c r="CN87" s="55"/>
      <c r="CO87" s="55"/>
      <c r="CP87" s="55"/>
      <c r="CQ87" s="55"/>
      <c r="CR87" s="55"/>
      <c r="CS87" s="55"/>
      <c r="CT87" s="55"/>
      <c r="CU87" s="55"/>
      <c r="CV87" s="55"/>
      <c r="CW87" s="55"/>
      <c r="CX87" s="55"/>
      <c r="CY87" s="55"/>
      <c r="CZ87" s="55"/>
      <c r="DA87" s="55"/>
      <c r="DB87" s="55"/>
      <c r="DC87" s="55"/>
      <c r="DD87" s="55"/>
      <c r="DE87" s="55"/>
      <c r="DF87" s="55"/>
      <c r="DG87" s="55"/>
      <c r="DH87" s="55"/>
      <c r="DI87" s="55"/>
      <c r="DJ87" s="55"/>
      <c r="DK87" s="55"/>
      <c r="DL87" s="55"/>
      <c r="DM87" s="55"/>
      <c r="DN87" s="55"/>
      <c r="DO87" s="55"/>
      <c r="DP87" s="55"/>
      <c r="DQ87" s="55"/>
      <c r="DR87" s="55"/>
      <c r="DS87" s="55"/>
      <c r="DT87" s="55"/>
      <c r="DU87" s="55"/>
      <c r="DV87" s="55"/>
      <c r="DW87" s="55"/>
      <c r="DX87" s="55"/>
      <c r="DY87" s="55"/>
      <c r="DZ87" s="55"/>
      <c r="EA87" s="55"/>
      <c r="EB87" s="55"/>
      <c r="EC87" s="55"/>
      <c r="ED87" s="55"/>
      <c r="EE87" s="55"/>
      <c r="EF87" s="55"/>
      <c r="EG87" s="55"/>
      <c r="EH87" s="55"/>
      <c r="EI87" s="55"/>
      <c r="EJ87" s="55"/>
      <c r="EK87" s="55"/>
      <c r="EL87" s="55"/>
      <c r="EM87" s="55"/>
      <c r="EN87" s="55"/>
      <c r="EO87" s="55"/>
      <c r="EP87" s="55"/>
      <c r="EQ87" s="55"/>
      <c r="ER87" s="55"/>
      <c r="ES87" s="55"/>
      <c r="ET87" s="55"/>
      <c r="EU87" s="55"/>
      <c r="EV87" s="55"/>
      <c r="EW87" s="55"/>
      <c r="EX87" s="55"/>
      <c r="EY87" s="55"/>
      <c r="EZ87" s="55"/>
      <c r="FA87" s="55"/>
      <c r="FB87" s="55"/>
      <c r="FC87" s="55"/>
      <c r="FD87" s="55"/>
      <c r="FE87" s="55"/>
      <c r="FF87" s="55"/>
      <c r="FG87" s="55"/>
      <c r="FH87" s="55"/>
      <c r="FI87" s="55"/>
      <c r="FJ87" s="55"/>
      <c r="FK87" s="55"/>
      <c r="FL87" s="55"/>
      <c r="FM87" s="55"/>
      <c r="FN87" s="55"/>
      <c r="FO87" s="55"/>
      <c r="FP87" s="55"/>
      <c r="FQ87" s="55"/>
      <c r="FR87" s="55"/>
      <c r="FS87" s="55"/>
      <c r="FT87" s="55"/>
      <c r="FU87" s="55"/>
      <c r="FV87" s="55"/>
      <c r="FW87" s="55"/>
      <c r="FX87" s="55"/>
      <c r="FY87" s="55"/>
      <c r="FZ87" s="55"/>
      <c r="GA87" s="55"/>
      <c r="GB87" s="55"/>
      <c r="GC87" s="55"/>
      <c r="GD87" s="55"/>
      <c r="GE87" s="55"/>
      <c r="GF87" s="55"/>
      <c r="GG87" s="55"/>
      <c r="GH87" s="55"/>
      <c r="GI87" s="55"/>
      <c r="GJ87" s="55"/>
      <c r="GK87" s="55"/>
      <c r="GL87" s="55"/>
      <c r="GM87" s="55"/>
      <c r="GN87" s="55"/>
      <c r="GO87" s="55"/>
      <c r="GP87" s="55"/>
      <c r="GQ87" s="55"/>
      <c r="GR87" s="55"/>
      <c r="GS87" s="55"/>
      <c r="GT87" s="55"/>
      <c r="GU87" s="55"/>
      <c r="GV87" s="55"/>
      <c r="GW87" s="55"/>
      <c r="GX87" s="55"/>
      <c r="GY87" s="55"/>
      <c r="GZ87" s="55"/>
      <c r="HA87" s="55"/>
      <c r="HB87" s="55"/>
      <c r="HC87" s="55"/>
      <c r="HD87" s="55"/>
      <c r="HE87" s="55"/>
      <c r="HF87" s="55"/>
      <c r="HG87" s="55"/>
      <c r="HH87" s="55"/>
      <c r="HI87" s="55"/>
      <c r="HJ87" s="55"/>
      <c r="HK87" s="55"/>
      <c r="HL87" s="55"/>
      <c r="HM87" s="55"/>
      <c r="HN87" s="55"/>
      <c r="HO87" s="55"/>
      <c r="HP87" s="55"/>
      <c r="HQ87" s="55"/>
      <c r="HR87" s="55"/>
      <c r="HS87" s="55"/>
      <c r="HT87" s="55"/>
      <c r="HU87" s="55"/>
      <c r="HV87" s="55"/>
      <c r="HW87" s="55"/>
      <c r="HX87" s="55"/>
      <c r="HY87" s="55"/>
      <c r="HZ87" s="55"/>
      <c r="IA87" s="55"/>
      <c r="IB87" s="55"/>
      <c r="IC87" s="55"/>
      <c r="ID87" s="55"/>
      <c r="IE87" s="55"/>
      <c r="IF87" s="55"/>
      <c r="IG87" s="55"/>
      <c r="IH87" s="55"/>
      <c r="II87" s="55"/>
      <c r="IJ87" s="55"/>
      <c r="IK87" s="55"/>
      <c r="IL87" s="55"/>
      <c r="IM87" s="55"/>
      <c r="IN87" s="55"/>
      <c r="IO87" s="55"/>
      <c r="IP87" s="55"/>
      <c r="IQ87" s="55"/>
      <c r="IR87" s="55"/>
      <c r="IS87" s="55"/>
      <c r="IT87" s="55"/>
      <c r="IU87" s="55"/>
      <c r="IV87" s="55"/>
      <c r="IW87" s="55"/>
      <c r="IX87" s="55"/>
      <c r="IY87" s="55"/>
      <c r="IZ87" s="55"/>
      <c r="JA87" s="55"/>
      <c r="JB87" s="55"/>
      <c r="JC87" s="55"/>
      <c r="JD87" s="55"/>
      <c r="JE87" s="55"/>
      <c r="JF87" s="55"/>
      <c r="JG87" s="55"/>
      <c r="JH87" s="55"/>
      <c r="JI87" s="55"/>
      <c r="JJ87" s="55"/>
      <c r="JK87" s="55"/>
      <c r="JL87" s="55"/>
      <c r="JM87" s="55"/>
      <c r="JN87" s="55"/>
      <c r="JO87" s="55"/>
      <c r="JP87" s="55"/>
      <c r="JQ87" s="55"/>
      <c r="JR87" s="55"/>
      <c r="JS87" s="55"/>
      <c r="JT87" s="55"/>
      <c r="JU87" s="55"/>
      <c r="JV87" s="55"/>
      <c r="JW87" s="55"/>
      <c r="JX87" s="55"/>
      <c r="JY87" s="55"/>
      <c r="JZ87" s="55"/>
      <c r="KA87" s="55"/>
      <c r="KB87" s="55"/>
      <c r="KC87" s="55"/>
      <c r="KD87" s="55"/>
      <c r="KE87" s="55"/>
      <c r="KF87" s="55"/>
      <c r="KG87" s="55"/>
      <c r="KH87" s="55"/>
      <c r="KI87" s="55"/>
      <c r="KJ87" s="55"/>
      <c r="KK87" s="55"/>
      <c r="KL87" s="55"/>
      <c r="KM87" s="55"/>
      <c r="KN87" s="55"/>
      <c r="KO87" s="55"/>
      <c r="KP87" s="55"/>
      <c r="KQ87" s="55"/>
      <c r="KR87" s="55"/>
      <c r="KS87" s="55"/>
      <c r="KT87" s="55"/>
      <c r="KU87" s="55"/>
      <c r="KV87" s="55"/>
      <c r="KW87" s="55"/>
      <c r="KX87" s="55"/>
      <c r="KY87" s="55"/>
      <c r="KZ87" s="55"/>
      <c r="LA87" s="55"/>
      <c r="LB87" s="55"/>
      <c r="LC87" s="55"/>
      <c r="LD87" s="55"/>
      <c r="LE87" s="55"/>
      <c r="LF87" s="55"/>
      <c r="LG87" s="55"/>
      <c r="LH87" s="55"/>
      <c r="LI87" s="55"/>
      <c r="LJ87" s="55"/>
      <c r="LK87" s="55"/>
      <c r="LL87" s="55"/>
      <c r="LM87" s="55"/>
      <c r="LN87" s="55"/>
      <c r="LO87" s="55"/>
      <c r="LP87" s="55"/>
      <c r="LQ87" s="55"/>
      <c r="LR87" s="55"/>
      <c r="LS87" s="55"/>
      <c r="LT87" s="55"/>
      <c r="LU87" s="55"/>
      <c r="LV87" s="55"/>
      <c r="LW87" s="55"/>
      <c r="LX87" s="55"/>
      <c r="LY87" s="55"/>
      <c r="LZ87" s="55"/>
      <c r="MA87" s="55"/>
      <c r="MB87" s="55"/>
      <c r="MC87" s="55"/>
      <c r="MD87" s="55"/>
      <c r="ME87" s="55"/>
      <c r="MF87" s="55"/>
      <c r="MG87" s="55"/>
      <c r="MH87" s="55"/>
      <c r="MI87" s="55"/>
      <c r="MJ87" s="55"/>
      <c r="MK87" s="55"/>
      <c r="ML87" s="55"/>
      <c r="MM87" s="55"/>
      <c r="MN87" s="55"/>
      <c r="MO87" s="55"/>
      <c r="MP87" s="55"/>
      <c r="MQ87" s="55"/>
      <c r="MR87" s="55"/>
      <c r="MS87" s="55"/>
      <c r="MT87" s="55"/>
      <c r="MU87" s="55"/>
      <c r="MV87" s="55"/>
      <c r="MW87" s="55"/>
      <c r="MX87" s="55"/>
      <c r="MY87" s="55"/>
      <c r="MZ87" s="55"/>
      <c r="NA87" s="55"/>
      <c r="NB87" s="55"/>
      <c r="NC87" s="55"/>
      <c r="ND87" s="55"/>
      <c r="NE87" s="55"/>
      <c r="NF87" s="55"/>
      <c r="NG87" s="55"/>
      <c r="NH87" s="55"/>
      <c r="NI87" s="55"/>
      <c r="NJ87" s="55"/>
      <c r="NK87" s="55"/>
      <c r="NL87" s="55"/>
      <c r="NM87" s="55"/>
      <c r="NN87" s="55"/>
      <c r="NO87" s="55"/>
      <c r="NP87" s="55"/>
      <c r="NQ87" s="55"/>
      <c r="NR87" s="55"/>
      <c r="NS87" s="55"/>
      <c r="NT87" s="55"/>
      <c r="NU87" s="55"/>
      <c r="NV87" s="55"/>
      <c r="NW87" s="55"/>
      <c r="NX87" s="55"/>
      <c r="NY87" s="55"/>
      <c r="NZ87" s="55"/>
      <c r="OA87" s="55"/>
      <c r="OB87" s="55"/>
      <c r="OC87" s="55"/>
      <c r="OD87" s="55"/>
      <c r="OE87" s="55"/>
      <c r="OF87" s="55"/>
      <c r="OG87" s="55"/>
      <c r="OH87" s="55"/>
      <c r="OI87" s="55"/>
      <c r="OJ87" s="55"/>
      <c r="OK87" s="55"/>
      <c r="OL87" s="55"/>
      <c r="OM87" s="55"/>
      <c r="ON87" s="55"/>
      <c r="OO87" s="55"/>
      <c r="OP87" s="55"/>
      <c r="OQ87" s="55"/>
      <c r="OR87" s="55"/>
      <c r="OS87" s="55"/>
      <c r="OT87" s="55"/>
      <c r="OU87" s="55"/>
      <c r="OV87" s="55"/>
      <c r="OW87" s="55"/>
      <c r="OX87" s="55"/>
      <c r="OY87" s="55"/>
      <c r="OZ87" s="55"/>
      <c r="PA87" s="55"/>
      <c r="PB87" s="55"/>
      <c r="PC87" s="55"/>
      <c r="PD87" s="55"/>
      <c r="PE87" s="55"/>
      <c r="PF87" s="55"/>
      <c r="PG87" s="55"/>
      <c r="PH87" s="55"/>
      <c r="PI87" s="55"/>
      <c r="PJ87" s="55"/>
      <c r="PK87" s="55"/>
      <c r="PL87" s="55"/>
      <c r="PM87" s="55"/>
      <c r="PN87" s="55"/>
      <c r="PO87" s="55"/>
      <c r="PP87" s="55"/>
      <c r="PQ87" s="55"/>
      <c r="PR87" s="55"/>
      <c r="PS87" s="55"/>
      <c r="PT87" s="55"/>
      <c r="PU87" s="55"/>
      <c r="PV87" s="55"/>
      <c r="PW87" s="55"/>
      <c r="PX87" s="55"/>
      <c r="PY87" s="55"/>
      <c r="PZ87" s="55"/>
      <c r="QA87" s="55"/>
      <c r="QB87" s="55"/>
      <c r="QC87" s="55"/>
      <c r="QD87" s="55"/>
      <c r="QE87" s="55"/>
      <c r="QF87" s="55"/>
      <c r="QG87" s="55"/>
      <c r="QH87" s="55"/>
      <c r="QI87" s="55"/>
      <c r="QJ87" s="55"/>
      <c r="QK87" s="55"/>
      <c r="QL87" s="55"/>
      <c r="QM87" s="55"/>
      <c r="QN87" s="55"/>
      <c r="QO87" s="55"/>
      <c r="QP87" s="55"/>
      <c r="QQ87" s="55"/>
      <c r="QR87" s="55"/>
      <c r="QS87" s="55"/>
      <c r="QT87" s="55"/>
      <c r="QU87" s="55"/>
      <c r="QV87" s="55"/>
      <c r="QW87" s="55"/>
      <c r="QX87" s="55"/>
      <c r="QY87" s="55"/>
      <c r="QZ87" s="55"/>
      <c r="RA87" s="55"/>
      <c r="RB87" s="55"/>
      <c r="RC87" s="55"/>
      <c r="RD87" s="55"/>
      <c r="RE87" s="55"/>
      <c r="RF87" s="55"/>
      <c r="RG87" s="55"/>
      <c r="RH87" s="55"/>
      <c r="RI87" s="55"/>
      <c r="RJ87" s="55"/>
      <c r="RK87" s="55"/>
      <c r="RL87" s="55"/>
      <c r="RM87" s="55"/>
      <c r="RN87" s="55"/>
      <c r="RO87" s="55"/>
      <c r="RP87" s="55"/>
      <c r="RQ87" s="55"/>
      <c r="RR87" s="55"/>
      <c r="RS87" s="55"/>
      <c r="RT87" s="55"/>
      <c r="RU87" s="55"/>
      <c r="RV87" s="55"/>
      <c r="RW87" s="55"/>
      <c r="RX87" s="55"/>
      <c r="RY87" s="55"/>
      <c r="RZ87" s="55"/>
      <c r="SA87" s="55"/>
      <c r="SB87" s="55"/>
      <c r="SC87" s="55"/>
      <c r="SD87" s="55"/>
      <c r="SE87" s="55"/>
      <c r="SF87" s="55"/>
      <c r="SG87" s="55"/>
      <c r="SH87" s="55"/>
      <c r="SI87" s="55"/>
      <c r="SJ87" s="55"/>
      <c r="SK87" s="55"/>
      <c r="SL87" s="55"/>
      <c r="SM87" s="55"/>
      <c r="SN87" s="55"/>
      <c r="SO87" s="55"/>
      <c r="SP87" s="55"/>
      <c r="SQ87" s="55"/>
      <c r="SR87" s="55"/>
      <c r="SS87" s="55"/>
      <c r="ST87" s="55"/>
      <c r="SU87" s="55"/>
      <c r="SV87" s="55"/>
      <c r="SW87" s="55"/>
      <c r="SX87" s="55"/>
      <c r="SY87" s="55"/>
      <c r="SZ87" s="55"/>
      <c r="TA87" s="55"/>
      <c r="TB87" s="55"/>
      <c r="TC87" s="55"/>
      <c r="TD87" s="55"/>
      <c r="TE87" s="55"/>
      <c r="TF87" s="55"/>
      <c r="TG87" s="55"/>
      <c r="TH87" s="55"/>
      <c r="TI87" s="55"/>
      <c r="TJ87" s="55"/>
      <c r="TK87" s="55"/>
      <c r="TL87" s="55"/>
      <c r="TM87" s="55"/>
      <c r="TN87" s="55"/>
      <c r="TO87" s="55"/>
      <c r="TP87" s="55"/>
      <c r="TQ87" s="55"/>
      <c r="TR87" s="55"/>
      <c r="TS87" s="55"/>
      <c r="TT87" s="55"/>
      <c r="TU87" s="55"/>
      <c r="TV87" s="55"/>
      <c r="TW87" s="55"/>
      <c r="TX87" s="55"/>
      <c r="TY87" s="55"/>
      <c r="TZ87" s="55"/>
      <c r="UA87" s="55"/>
      <c r="UB87" s="55"/>
      <c r="UC87" s="55"/>
      <c r="UD87" s="55"/>
      <c r="UE87" s="55"/>
      <c r="UF87" s="55"/>
      <c r="UG87" s="55"/>
      <c r="UH87" s="55"/>
      <c r="UI87" s="55"/>
      <c r="UJ87" s="55"/>
      <c r="UK87" s="55"/>
      <c r="UL87" s="55"/>
      <c r="UM87" s="55"/>
      <c r="UN87" s="55"/>
      <c r="UO87" s="55"/>
      <c r="UP87" s="55"/>
      <c r="UQ87" s="55"/>
      <c r="UR87" s="55"/>
      <c r="US87" s="55"/>
      <c r="UT87" s="55"/>
      <c r="UU87" s="55"/>
      <c r="UV87" s="55"/>
      <c r="UW87" s="55"/>
      <c r="UX87" s="55"/>
      <c r="UY87" s="55"/>
      <c r="UZ87" s="55"/>
      <c r="VA87" s="55"/>
      <c r="VB87" s="55"/>
      <c r="VC87" s="55"/>
      <c r="VD87" s="55"/>
      <c r="VE87" s="55"/>
      <c r="VF87" s="55"/>
      <c r="VG87" s="55"/>
      <c r="VH87" s="55"/>
      <c r="VI87" s="55"/>
      <c r="VJ87" s="55"/>
      <c r="VK87" s="55"/>
      <c r="VL87" s="55"/>
      <c r="VM87" s="55"/>
      <c r="VN87" s="55"/>
      <c r="VO87" s="55"/>
      <c r="VP87" s="55"/>
      <c r="VQ87" s="55"/>
      <c r="VR87" s="55"/>
      <c r="VS87" s="55"/>
      <c r="VT87" s="55"/>
      <c r="VU87" s="55"/>
      <c r="VV87" s="55"/>
      <c r="VW87" s="55"/>
      <c r="VX87" s="55"/>
      <c r="VY87" s="55"/>
      <c r="VZ87" s="55"/>
      <c r="WA87" s="55"/>
      <c r="WB87" s="55"/>
      <c r="WC87" s="55"/>
      <c r="WD87" s="55"/>
      <c r="WE87" s="55"/>
      <c r="WF87" s="55"/>
      <c r="WG87" s="55"/>
      <c r="WH87" s="55"/>
      <c r="WI87" s="55"/>
      <c r="WJ87" s="55"/>
      <c r="WK87" s="55"/>
      <c r="WL87" s="55"/>
      <c r="WM87" s="55"/>
      <c r="WN87" s="55"/>
      <c r="WO87" s="55"/>
      <c r="WP87" s="55"/>
      <c r="WQ87" s="55"/>
      <c r="WR87" s="55"/>
      <c r="WS87" s="55"/>
      <c r="WT87" s="55"/>
      <c r="WU87" s="55"/>
      <c r="WV87" s="55"/>
      <c r="WW87" s="55"/>
      <c r="WX87" s="55"/>
      <c r="WY87" s="55"/>
      <c r="WZ87" s="55"/>
      <c r="XA87" s="55"/>
      <c r="XB87" s="55"/>
      <c r="XC87" s="55"/>
      <c r="XD87" s="55"/>
      <c r="XE87" s="55"/>
      <c r="XF87" s="55"/>
      <c r="XG87" s="55"/>
      <c r="XH87" s="55"/>
      <c r="XI87" s="55"/>
      <c r="XJ87" s="55"/>
      <c r="XK87" s="55"/>
      <c r="XL87" s="55"/>
      <c r="XM87" s="55"/>
      <c r="XN87" s="55"/>
      <c r="XO87" s="55"/>
      <c r="XP87" s="55"/>
      <c r="XQ87" s="55"/>
      <c r="XR87" s="55"/>
      <c r="XS87" s="55"/>
      <c r="XT87" s="55"/>
      <c r="XU87" s="55"/>
      <c r="XV87" s="55"/>
      <c r="XW87" s="55"/>
      <c r="XX87" s="55"/>
      <c r="XY87" s="55"/>
      <c r="XZ87" s="55"/>
      <c r="YA87" s="55"/>
      <c r="YB87" s="55"/>
      <c r="YC87" s="55"/>
      <c r="YD87" s="55"/>
      <c r="YE87" s="55"/>
      <c r="YF87" s="55"/>
      <c r="YG87" s="55"/>
      <c r="YH87" s="55"/>
      <c r="YI87" s="55"/>
      <c r="YJ87" s="55"/>
      <c r="YK87" s="55"/>
      <c r="YL87" s="55"/>
      <c r="YM87" s="55"/>
      <c r="YN87" s="55"/>
      <c r="YO87" s="55"/>
      <c r="YP87" s="55"/>
      <c r="YQ87" s="55"/>
      <c r="YR87" s="55"/>
      <c r="YS87" s="55"/>
      <c r="YT87" s="55"/>
      <c r="YU87" s="55"/>
      <c r="YV87" s="55"/>
      <c r="YW87" s="55"/>
      <c r="YX87" s="55"/>
      <c r="YY87" s="55"/>
      <c r="YZ87" s="55"/>
      <c r="ZA87" s="55"/>
      <c r="ZB87" s="55"/>
      <c r="ZC87" s="55"/>
      <c r="ZD87" s="55"/>
      <c r="ZE87" s="55"/>
      <c r="ZF87" s="55"/>
      <c r="ZG87" s="55"/>
      <c r="ZH87" s="55"/>
      <c r="ZI87" s="55"/>
      <c r="ZJ87" s="55"/>
      <c r="ZK87" s="55"/>
      <c r="ZL87" s="55"/>
      <c r="ZM87" s="55"/>
      <c r="ZN87" s="55"/>
      <c r="ZO87" s="55"/>
      <c r="ZP87" s="55"/>
      <c r="ZQ87" s="55"/>
      <c r="ZR87" s="55"/>
      <c r="ZS87" s="55"/>
      <c r="ZT87" s="55"/>
      <c r="ZU87" s="55"/>
      <c r="ZV87" s="55"/>
      <c r="ZW87" s="55"/>
      <c r="ZX87" s="55"/>
      <c r="ZY87" s="55"/>
      <c r="ZZ87" s="55"/>
      <c r="AAA87" s="55"/>
      <c r="AAB87" s="55"/>
      <c r="AAC87" s="55"/>
      <c r="AAD87" s="55"/>
      <c r="AAE87" s="55"/>
      <c r="AAF87" s="55"/>
      <c r="AAG87" s="55"/>
      <c r="AAH87" s="55"/>
      <c r="AAI87" s="55"/>
      <c r="AAJ87" s="55"/>
      <c r="AAK87" s="55"/>
      <c r="AAL87" s="55"/>
      <c r="AAM87" s="55"/>
      <c r="AAN87" s="55"/>
      <c r="AAO87" s="55"/>
      <c r="AAP87" s="55"/>
      <c r="AAQ87" s="55"/>
      <c r="AAR87" s="55"/>
      <c r="AAS87" s="55"/>
      <c r="AAT87" s="55"/>
      <c r="AAU87" s="55"/>
      <c r="AAV87" s="55"/>
      <c r="AAW87" s="55"/>
      <c r="AAX87" s="55"/>
      <c r="AAY87" s="55"/>
      <c r="AAZ87" s="55"/>
      <c r="ABA87" s="55"/>
      <c r="ABB87" s="55"/>
      <c r="ABC87" s="55"/>
      <c r="ABD87" s="55"/>
      <c r="ABE87" s="55"/>
      <c r="ABF87" s="55"/>
      <c r="ABG87" s="55"/>
      <c r="ABH87" s="55"/>
      <c r="ABI87" s="55"/>
      <c r="ABJ87" s="55"/>
      <c r="ABK87" s="55"/>
      <c r="ABL87" s="55"/>
      <c r="ABM87" s="55"/>
      <c r="ABN87" s="55"/>
      <c r="ABO87" s="55"/>
      <c r="ABP87" s="55"/>
      <c r="ABQ87" s="55"/>
      <c r="ABR87" s="55"/>
      <c r="ABS87" s="55"/>
      <c r="ABT87" s="55"/>
      <c r="ABU87" s="55"/>
      <c r="ABV87" s="55"/>
      <c r="ABW87" s="55"/>
      <c r="ABX87" s="55"/>
      <c r="ABY87" s="55"/>
      <c r="ABZ87" s="55"/>
      <c r="ACA87" s="55"/>
      <c r="ACB87" s="55"/>
      <c r="ACC87" s="55"/>
      <c r="ACD87" s="55"/>
      <c r="ACE87" s="55"/>
      <c r="ACF87" s="55"/>
      <c r="ACG87" s="55"/>
      <c r="ACH87" s="55"/>
      <c r="ACI87" s="55"/>
      <c r="ACJ87" s="55"/>
      <c r="ACK87" s="55"/>
      <c r="ACL87" s="55"/>
      <c r="ACM87" s="55"/>
      <c r="ACN87" s="55"/>
      <c r="ACO87" s="55"/>
      <c r="ACP87" s="55"/>
      <c r="ACQ87" s="55"/>
      <c r="ACR87" s="55"/>
      <c r="ACS87" s="55"/>
      <c r="ACT87" s="55"/>
      <c r="ACU87" s="55"/>
      <c r="ACV87" s="55"/>
      <c r="ACW87" s="55"/>
      <c r="ACX87" s="55"/>
      <c r="ACY87" s="55"/>
      <c r="ACZ87" s="55"/>
      <c r="ADA87" s="55"/>
      <c r="ADB87" s="55"/>
      <c r="ADC87" s="55"/>
      <c r="ADD87" s="55"/>
      <c r="ADE87" s="55"/>
      <c r="ADF87" s="55"/>
      <c r="ADG87" s="55"/>
      <c r="ADH87" s="55"/>
      <c r="ADI87" s="55"/>
      <c r="ADJ87" s="55"/>
      <c r="ADK87" s="55"/>
      <c r="ADL87" s="55"/>
      <c r="ADM87" s="55"/>
      <c r="ADN87" s="55"/>
      <c r="ADO87" s="55"/>
      <c r="ADP87" s="55"/>
      <c r="ADQ87" s="55"/>
      <c r="ADR87" s="55"/>
      <c r="ADS87" s="55"/>
      <c r="ADT87" s="55"/>
      <c r="ADU87" s="55"/>
      <c r="ADV87" s="55"/>
      <c r="ADW87" s="55"/>
      <c r="ADX87" s="55"/>
      <c r="ADY87" s="55"/>
      <c r="ADZ87" s="55"/>
      <c r="AEA87" s="55"/>
      <c r="AEB87" s="55"/>
      <c r="AEC87" s="55"/>
      <c r="AED87" s="55"/>
      <c r="AEE87" s="55"/>
      <c r="AEF87" s="55"/>
      <c r="AEG87" s="55"/>
      <c r="AEH87" s="55"/>
      <c r="AEI87" s="55"/>
      <c r="AEJ87" s="55"/>
      <c r="AEK87" s="55"/>
      <c r="AEL87" s="55"/>
      <c r="AEM87" s="55"/>
      <c r="AEN87" s="55"/>
      <c r="AEO87" s="55"/>
      <c r="AEP87" s="55"/>
      <c r="AEQ87" s="55"/>
      <c r="AER87" s="55"/>
      <c r="AES87" s="55"/>
      <c r="AET87" s="55"/>
      <c r="AEU87" s="55"/>
      <c r="AEV87" s="55"/>
      <c r="AEW87" s="55"/>
      <c r="AEX87" s="55"/>
      <c r="AEY87" s="55"/>
      <c r="AEZ87" s="55"/>
      <c r="AFA87" s="55"/>
      <c r="AFB87" s="55"/>
      <c r="AFC87" s="55"/>
      <c r="AFD87" s="55"/>
      <c r="AFE87" s="55"/>
      <c r="AFF87" s="55"/>
      <c r="AFG87" s="55"/>
      <c r="AFH87" s="55"/>
      <c r="AFI87" s="55"/>
      <c r="AFJ87" s="55"/>
      <c r="AFK87" s="55"/>
      <c r="AFL87" s="55"/>
      <c r="AFM87" s="55"/>
      <c r="AFN87" s="55"/>
      <c r="AFO87" s="55"/>
      <c r="AFP87" s="55"/>
      <c r="AFQ87" s="55"/>
      <c r="AFR87" s="55"/>
      <c r="AFS87" s="55"/>
      <c r="AFT87" s="55"/>
      <c r="AFU87" s="55"/>
      <c r="AFV87" s="55"/>
      <c r="AFW87" s="55"/>
      <c r="AFX87" s="55"/>
      <c r="AFY87" s="55"/>
      <c r="AFZ87" s="55"/>
      <c r="AGA87" s="55"/>
      <c r="AGB87" s="55"/>
      <c r="AGC87" s="55"/>
      <c r="AGD87" s="55"/>
      <c r="AGE87" s="55"/>
      <c r="AGF87" s="55"/>
      <c r="AGG87" s="55"/>
      <c r="AGH87" s="55"/>
      <c r="AGI87" s="55"/>
      <c r="AGJ87" s="55"/>
      <c r="AGK87" s="55"/>
      <c r="AGL87" s="55"/>
      <c r="AGM87" s="55"/>
      <c r="AGN87" s="55"/>
      <c r="AGO87" s="55"/>
      <c r="AGP87" s="55"/>
      <c r="AGQ87" s="55"/>
      <c r="AGR87" s="55"/>
      <c r="AGS87" s="55"/>
      <c r="AGT87" s="55"/>
      <c r="AGU87" s="55"/>
      <c r="AGV87" s="55"/>
      <c r="AGW87" s="55"/>
      <c r="AGX87" s="55"/>
      <c r="AGY87" s="55"/>
      <c r="AGZ87" s="55"/>
      <c r="AHA87" s="55"/>
      <c r="AHB87" s="55"/>
      <c r="AHC87" s="55"/>
      <c r="AHD87" s="55"/>
      <c r="AHE87" s="55"/>
      <c r="AHF87" s="55"/>
      <c r="AHG87" s="55"/>
      <c r="AHH87" s="55"/>
      <c r="AHI87" s="55"/>
      <c r="AHJ87" s="55"/>
      <c r="AHK87" s="55"/>
      <c r="AHL87" s="55"/>
      <c r="AHM87" s="55"/>
      <c r="AHN87" s="55"/>
      <c r="AHO87" s="55"/>
      <c r="AHP87" s="55"/>
      <c r="AHQ87" s="55"/>
      <c r="AHR87" s="55"/>
      <c r="AHS87" s="55"/>
      <c r="AHT87" s="55"/>
      <c r="AHU87" s="55"/>
      <c r="AHV87" s="55"/>
      <c r="AHW87" s="55"/>
      <c r="AHX87" s="55"/>
      <c r="AHY87" s="55"/>
      <c r="AHZ87" s="55"/>
      <c r="AIA87" s="55"/>
      <c r="AIB87" s="55"/>
      <c r="AIC87" s="55"/>
      <c r="AID87" s="55"/>
      <c r="AIE87" s="55"/>
      <c r="AIF87" s="55"/>
      <c r="AIG87" s="55"/>
      <c r="AIH87" s="55"/>
      <c r="AII87" s="55"/>
      <c r="AIJ87" s="55"/>
      <c r="AIK87" s="55"/>
      <c r="AIL87" s="55"/>
      <c r="AIM87" s="55"/>
      <c r="AIN87" s="55"/>
      <c r="AIO87" s="55"/>
      <c r="AIP87" s="55"/>
      <c r="AIQ87" s="55"/>
      <c r="AIR87" s="55"/>
      <c r="AIS87" s="55"/>
      <c r="AIT87" s="55"/>
      <c r="AIU87" s="55"/>
      <c r="AIV87" s="55"/>
      <c r="AIW87" s="55"/>
      <c r="AIX87" s="55"/>
      <c r="AIY87" s="55"/>
      <c r="AIZ87" s="55"/>
      <c r="AJA87" s="55"/>
      <c r="AJB87" s="55"/>
      <c r="AJC87" s="55"/>
      <c r="AJD87" s="55"/>
      <c r="AJE87" s="55"/>
      <c r="AJF87" s="55"/>
      <c r="AJG87" s="55"/>
      <c r="AJH87" s="55"/>
      <c r="AJI87" s="55"/>
      <c r="AJJ87" s="55"/>
      <c r="AJK87" s="55"/>
      <c r="AJL87" s="55"/>
      <c r="AJM87" s="55"/>
      <c r="AJN87" s="55"/>
      <c r="AJO87" s="55"/>
      <c r="AJP87" s="55"/>
      <c r="AJQ87" s="55"/>
      <c r="AJR87" s="55"/>
      <c r="AJS87" s="55"/>
      <c r="AJT87" s="55"/>
      <c r="AJU87" s="55"/>
      <c r="AJV87" s="55"/>
      <c r="AJW87" s="55"/>
      <c r="AJX87" s="55"/>
      <c r="AJY87" s="55"/>
      <c r="AJZ87" s="55"/>
      <c r="AKA87" s="55"/>
      <c r="AKB87" s="55"/>
      <c r="AKC87" s="55"/>
      <c r="AKD87" s="55"/>
      <c r="AKE87" s="55"/>
      <c r="AKF87" s="55"/>
      <c r="AKG87" s="55"/>
      <c r="AKH87" s="55"/>
      <c r="AKI87" s="55"/>
      <c r="AKJ87" s="55"/>
      <c r="AKK87" s="55"/>
      <c r="AKL87" s="55"/>
      <c r="AKM87" s="55"/>
      <c r="AKN87" s="55"/>
      <c r="AKO87" s="55"/>
      <c r="AKP87" s="55"/>
      <c r="AKQ87" s="55"/>
      <c r="AKR87" s="55"/>
      <c r="AKS87" s="55"/>
      <c r="AKT87" s="55"/>
      <c r="AKU87" s="55"/>
      <c r="AKV87" s="55"/>
      <c r="AKW87" s="55"/>
      <c r="AKX87" s="55"/>
      <c r="AKY87" s="55"/>
      <c r="AKZ87" s="55"/>
      <c r="ALA87" s="55"/>
      <c r="ALB87" s="55"/>
      <c r="ALC87" s="55"/>
      <c r="ALD87" s="55"/>
      <c r="ALE87" s="55"/>
      <c r="ALF87" s="55"/>
      <c r="ALG87" s="55"/>
      <c r="ALH87" s="55"/>
      <c r="ALI87" s="55"/>
      <c r="ALJ87" s="55"/>
      <c r="ALK87" s="55"/>
      <c r="ALL87" s="55"/>
      <c r="ALM87" s="55"/>
      <c r="ALN87" s="55"/>
      <c r="ALO87" s="55"/>
      <c r="ALP87" s="55"/>
      <c r="ALQ87" s="55"/>
      <c r="ALR87" s="55"/>
      <c r="ALS87" s="55"/>
      <c r="ALT87" s="55"/>
      <c r="ALU87" s="55"/>
      <c r="ALV87" s="55"/>
      <c r="ALW87" s="55"/>
      <c r="ALX87" s="55"/>
      <c r="ALY87" s="55"/>
      <c r="ALZ87" s="55"/>
      <c r="AMA87" s="55"/>
      <c r="AMB87" s="55"/>
      <c r="AMC87" s="55"/>
      <c r="AMD87" s="55"/>
      <c r="AME87" s="55"/>
      <c r="AMF87" s="55"/>
      <c r="AMG87" s="55"/>
      <c r="AMH87" s="55"/>
      <c r="AMI87" s="55"/>
      <c r="AMJ87" s="55"/>
    </row>
    <row r="88" spans="1:1024" s="73" customFormat="1" ht="20.100000000000001" customHeight="1" x14ac:dyDescent="0.2">
      <c r="A88" s="956" t="s">
        <v>158</v>
      </c>
      <c r="B88" s="956"/>
      <c r="C88" s="956"/>
      <c r="D88" s="956"/>
      <c r="E88" s="603"/>
      <c r="F88" s="603"/>
      <c r="G88" s="603"/>
      <c r="H88" s="603"/>
      <c r="I88" s="603"/>
      <c r="J88" s="72"/>
      <c r="K88" s="72"/>
      <c r="L88" s="72"/>
      <c r="M88" s="72"/>
      <c r="N88" s="72"/>
      <c r="O88" s="72"/>
      <c r="P88" s="72"/>
      <c r="Q88" s="72"/>
      <c r="R88" s="70"/>
      <c r="S88" s="70"/>
      <c r="T88" s="80"/>
      <c r="U88" s="81"/>
      <c r="V88" s="72"/>
      <c r="W88" s="72"/>
      <c r="X88" s="72"/>
    </row>
    <row r="89" spans="1:1024" s="55" customFormat="1" x14ac:dyDescent="0.2">
      <c r="I89" s="74"/>
      <c r="J89" s="74"/>
      <c r="K89" s="74"/>
      <c r="L89" s="74"/>
      <c r="M89" s="74"/>
      <c r="N89" s="74"/>
      <c r="O89" s="74"/>
      <c r="P89" s="74"/>
      <c r="Q89" s="75"/>
    </row>
    <row r="90" spans="1:1024" x14ac:dyDescent="0.2">
      <c r="B90" s="207"/>
      <c r="C90" s="207"/>
      <c r="D90" s="207"/>
      <c r="E90" s="207"/>
      <c r="F90" s="207"/>
      <c r="G90" s="207"/>
      <c r="H90" s="207"/>
      <c r="I90" s="207"/>
      <c r="S90" s="70"/>
      <c r="T90" s="208"/>
      <c r="U90" s="209"/>
    </row>
    <row r="91" spans="1:1024" x14ac:dyDescent="0.2">
      <c r="B91" s="207"/>
      <c r="C91" s="207"/>
      <c r="D91" s="207"/>
      <c r="E91" s="207"/>
      <c r="F91" s="207"/>
      <c r="G91" s="207"/>
      <c r="H91" s="207"/>
      <c r="I91" s="207"/>
    </row>
    <row r="92" spans="1:1024" x14ac:dyDescent="0.2">
      <c r="B92" s="207"/>
      <c r="C92" s="207"/>
      <c r="D92" s="207"/>
      <c r="E92" s="207"/>
      <c r="F92" s="207"/>
      <c r="G92" s="207"/>
      <c r="H92" s="207"/>
      <c r="I92" s="207"/>
      <c r="T92" s="208"/>
      <c r="U92" s="208"/>
    </row>
    <row r="100" spans="1:16" s="195" customFormat="1" x14ac:dyDescent="0.2">
      <c r="A100" s="196"/>
      <c r="B100" s="196"/>
      <c r="C100" s="196"/>
      <c r="D100" s="196"/>
      <c r="E100" s="196"/>
      <c r="F100" s="196"/>
      <c r="G100" s="196"/>
      <c r="H100" s="196"/>
      <c r="I100" s="196"/>
      <c r="J100" s="210"/>
      <c r="K100" s="210"/>
      <c r="L100" s="210"/>
      <c r="M100" s="210"/>
      <c r="N100" s="210"/>
      <c r="O100" s="210"/>
      <c r="P100" s="210"/>
    </row>
    <row r="105" spans="1:16" s="195" customFormat="1" x14ac:dyDescent="0.2">
      <c r="A105" s="196"/>
      <c r="B105" s="196"/>
      <c r="C105" s="196"/>
      <c r="D105" s="196"/>
      <c r="E105" s="196"/>
      <c r="F105" s="196"/>
      <c r="G105" s="196"/>
      <c r="H105" s="211"/>
      <c r="I105" s="211"/>
    </row>
    <row r="107" spans="1:16" s="195" customFormat="1" x14ac:dyDescent="0.2">
      <c r="A107" s="196"/>
      <c r="B107" s="212"/>
      <c r="C107" s="211"/>
      <c r="D107" s="211"/>
      <c r="E107" s="211"/>
      <c r="F107" s="211"/>
      <c r="G107" s="211"/>
      <c r="H107" s="196"/>
      <c r="I107" s="196"/>
    </row>
  </sheetData>
  <sheetProtection algorithmName="SHA-512" hashValue="hGonQbp224BjyztWL6fV1oUOIhfRGh+ual/vUqoAupUmVy8fdMP1oeUVrxiKTIdXTaGkZ4FZgRpBLmUWiL0sEg==" saltValue="VdQiTTWI7KiXg+Heacnn0w==" spinCount="100000" sheet="1" objects="1" scenarios="1" selectLockedCells="1"/>
  <mergeCells count="70">
    <mergeCell ref="A84:I84"/>
    <mergeCell ref="D35:D36"/>
    <mergeCell ref="A27:I27"/>
    <mergeCell ref="A28:A29"/>
    <mergeCell ref="B28:B29"/>
    <mergeCell ref="C28:C29"/>
    <mergeCell ref="A34:I34"/>
    <mergeCell ref="A35:A36"/>
    <mergeCell ref="B35:B36"/>
    <mergeCell ref="C35:C36"/>
    <mergeCell ref="G35:G36"/>
    <mergeCell ref="I35:I36"/>
    <mergeCell ref="A41:I41"/>
    <mergeCell ref="A42:A43"/>
    <mergeCell ref="B42:B43"/>
    <mergeCell ref="C42:C43"/>
    <mergeCell ref="G42:G43"/>
    <mergeCell ref="I42:I43"/>
    <mergeCell ref="D42:D43"/>
    <mergeCell ref="I21:I22"/>
    <mergeCell ref="D21:D22"/>
    <mergeCell ref="A12:I12"/>
    <mergeCell ref="A1:I1"/>
    <mergeCell ref="A2:I2"/>
    <mergeCell ref="A3:I3"/>
    <mergeCell ref="A9:I9"/>
    <mergeCell ref="A10:I10"/>
    <mergeCell ref="A4:I4"/>
    <mergeCell ref="H58:H61"/>
    <mergeCell ref="A78:I78"/>
    <mergeCell ref="J50:Q50"/>
    <mergeCell ref="A57:I57"/>
    <mergeCell ref="J57:Q57"/>
    <mergeCell ref="A51:A52"/>
    <mergeCell ref="B51:B52"/>
    <mergeCell ref="C51:C52"/>
    <mergeCell ref="D51:D52"/>
    <mergeCell ref="E51:E52"/>
    <mergeCell ref="C21:C22"/>
    <mergeCell ref="G21:G22"/>
    <mergeCell ref="A88:D88"/>
    <mergeCell ref="A48:I48"/>
    <mergeCell ref="A50:E50"/>
    <mergeCell ref="G50:I50"/>
    <mergeCell ref="C58:C61"/>
    <mergeCell ref="A82:I82"/>
    <mergeCell ref="A83:I83"/>
    <mergeCell ref="A85:I85"/>
    <mergeCell ref="A86:I86"/>
    <mergeCell ref="A87:I87"/>
    <mergeCell ref="A79:I79"/>
    <mergeCell ref="A81:D81"/>
    <mergeCell ref="A58:B61"/>
    <mergeCell ref="I58:I61"/>
    <mergeCell ref="A66:I66"/>
    <mergeCell ref="A80:D80"/>
    <mergeCell ref="D14:E14"/>
    <mergeCell ref="D15:E15"/>
    <mergeCell ref="D16:E16"/>
    <mergeCell ref="D17:E17"/>
    <mergeCell ref="G58:G61"/>
    <mergeCell ref="D58:D61"/>
    <mergeCell ref="E58:E61"/>
    <mergeCell ref="F58:F61"/>
    <mergeCell ref="A20:I20"/>
    <mergeCell ref="G28:G29"/>
    <mergeCell ref="I28:I29"/>
    <mergeCell ref="D28:D29"/>
    <mergeCell ref="A21:A22"/>
    <mergeCell ref="B21:B22"/>
  </mergeCells>
  <dataValidations disablePrompts="1" count="1">
    <dataValidation allowBlank="1" showInputMessage="1" showErrorMessage="1" errorTitle="Pare !!!" error="Pare !!!" sqref="U92"/>
  </dataValidations>
  <printOptions horizontalCentered="1"/>
  <pageMargins left="0.31496062992125984" right="0.27559055118110237" top="0.70866141732283472" bottom="0.59055118110236227" header="0.19685039370078741" footer="0.19685039370078741"/>
  <pageSetup paperSize="9" scale="59" fitToHeight="3" orientation="portrait" r:id="rId1"/>
  <headerFooter>
    <oddHeader>&amp;C&amp;G&amp;R&amp;8&amp;P</oddHeader>
    <oddFooter>&amp;L&amp;G
        &amp;"Arial,Negrito"&amp;8&amp;K00-030SACCON/CPC/SECAD&amp;R&amp;A
Página &amp;P/&amp;N</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MK61"/>
  <sheetViews>
    <sheetView showGridLines="0" view="pageBreakPreview" zoomScale="110" zoomScaleNormal="100" zoomScaleSheetLayoutView="110" workbookViewId="0">
      <selection activeCell="C12" sqref="C12"/>
    </sheetView>
  </sheetViews>
  <sheetFormatPr defaultRowHeight="12.75" x14ac:dyDescent="0.2"/>
  <cols>
    <col min="1" max="1" width="12.7109375" style="501" customWidth="1"/>
    <col min="2" max="2" width="40.7109375" style="527" customWidth="1"/>
    <col min="3" max="3" width="20.7109375" style="501" customWidth="1"/>
    <col min="4" max="4" width="60.7109375" style="501" customWidth="1"/>
    <col min="5" max="5" width="12.7109375" style="501" customWidth="1"/>
    <col min="6" max="6" width="14.140625" style="501" customWidth="1"/>
    <col min="7" max="10" width="17.140625" style="501" customWidth="1"/>
    <col min="11" max="11" width="19.85546875" style="501" customWidth="1"/>
    <col min="12" max="12" width="17.140625" style="501" customWidth="1"/>
    <col min="13" max="13" width="34.28515625" style="501" customWidth="1"/>
    <col min="14" max="14" width="17.7109375" style="501" customWidth="1"/>
    <col min="15" max="15" width="13.42578125" style="501" customWidth="1"/>
    <col min="16" max="17" width="11.42578125" style="501" customWidth="1"/>
    <col min="18" max="18" width="16.5703125" style="501" customWidth="1"/>
    <col min="19" max="1025" width="11.42578125" style="501" customWidth="1"/>
  </cols>
  <sheetData>
    <row r="1" spans="1:5" ht="18" x14ac:dyDescent="0.2">
      <c r="A1" s="987" t="str">
        <f>POSTOS!A1:W1</f>
        <v>TRIBUNAL REGIONAL ELEITORAL DO PARANÁ</v>
      </c>
      <c r="B1" s="987"/>
      <c r="C1" s="987"/>
      <c r="D1" s="987"/>
      <c r="E1" s="987"/>
    </row>
    <row r="2" spans="1:5" ht="15" customHeight="1" x14ac:dyDescent="0.2">
      <c r="A2" s="988" t="str">
        <f>POSTOS!A2:W2</f>
        <v>PLANILHA DE FORMAÇÃO DE CUSTOS E PREÇOS - Proposta Detalhada</v>
      </c>
      <c r="B2" s="988"/>
      <c r="C2" s="988"/>
      <c r="D2" s="988"/>
      <c r="E2" s="988"/>
    </row>
    <row r="3" spans="1:5" ht="15" customHeight="1" x14ac:dyDescent="0.2">
      <c r="A3" s="989" t="str">
        <f>POSTOS!A3:W3</f>
        <v>Apoio Operacional Especializado - Encarregado e Auxiliar de Almoxarifado, e Marceneiro</v>
      </c>
      <c r="B3" s="989"/>
      <c r="C3" s="989"/>
      <c r="D3" s="989"/>
      <c r="E3" s="989"/>
    </row>
    <row r="4" spans="1:5" ht="15" customHeight="1" thickBot="1" x14ac:dyDescent="0.25">
      <c r="A4" s="502"/>
      <c r="B4" s="503"/>
      <c r="C4" s="502"/>
      <c r="D4" s="502"/>
      <c r="E4" s="502"/>
    </row>
    <row r="5" spans="1:5" ht="15" customHeight="1" x14ac:dyDescent="0.2">
      <c r="A5" s="990" t="str">
        <f>POSTOS!A9:W9</f>
        <v>NOME DA EMPRESA</v>
      </c>
      <c r="B5" s="990"/>
      <c r="C5" s="990"/>
      <c r="D5" s="990"/>
      <c r="E5" s="990"/>
    </row>
    <row r="6" spans="1:5" ht="15" customHeight="1" thickBot="1" x14ac:dyDescent="0.25">
      <c r="A6" s="991" t="str">
        <f>POSTOS!A10:W10</f>
        <v>CNPJ</v>
      </c>
      <c r="B6" s="991"/>
      <c r="C6" s="991"/>
      <c r="D6" s="991"/>
      <c r="E6" s="991"/>
    </row>
    <row r="7" spans="1:5" ht="15" customHeight="1" thickBot="1" x14ac:dyDescent="0.25">
      <c r="A7" s="986"/>
      <c r="B7" s="986"/>
      <c r="C7" s="986"/>
      <c r="D7" s="986"/>
      <c r="E7" s="986"/>
    </row>
    <row r="8" spans="1:5" s="504" customFormat="1" ht="25.5" customHeight="1" thickBot="1" x14ac:dyDescent="0.25">
      <c r="A8" s="994" t="s">
        <v>337</v>
      </c>
      <c r="B8" s="994"/>
      <c r="C8" s="994"/>
      <c r="D8" s="994"/>
      <c r="E8" s="994"/>
    </row>
    <row r="9" spans="1:5" s="504" customFormat="1" ht="15.95" customHeight="1" x14ac:dyDescent="0.2">
      <c r="A9" s="505"/>
      <c r="B9" s="505"/>
      <c r="C9" s="505"/>
      <c r="D9" s="505"/>
      <c r="E9" s="505"/>
    </row>
    <row r="10" spans="1:5" ht="15.95" customHeight="1" thickBot="1" x14ac:dyDescent="0.25">
      <c r="A10" s="506">
        <f>POSTOS!A22</f>
        <v>1</v>
      </c>
      <c r="B10" s="995" t="str">
        <f>POSTOS!B22</f>
        <v>Encarregado de Almoxarifado</v>
      </c>
      <c r="C10" s="995"/>
      <c r="D10" s="995"/>
      <c r="E10" s="995"/>
    </row>
    <row r="11" spans="1:5" ht="15.95" customHeight="1" thickTop="1" x14ac:dyDescent="0.2">
      <c r="A11" s="507"/>
      <c r="B11" s="508"/>
      <c r="C11" s="507"/>
      <c r="D11" s="507"/>
      <c r="E11" s="507"/>
    </row>
    <row r="12" spans="1:5" s="511" customFormat="1" ht="15.95" customHeight="1" x14ac:dyDescent="0.2">
      <c r="A12" s="509"/>
      <c r="B12" s="510" t="s">
        <v>338</v>
      </c>
      <c r="C12" s="642">
        <v>1</v>
      </c>
      <c r="D12" s="608"/>
      <c r="E12" s="509"/>
    </row>
    <row r="13" spans="1:5" s="511" customFormat="1" ht="15.95" customHeight="1" x14ac:dyDescent="0.2">
      <c r="A13" s="509"/>
      <c r="B13" s="510" t="s">
        <v>339</v>
      </c>
      <c r="C13" s="642">
        <v>1</v>
      </c>
      <c r="D13" s="608"/>
      <c r="E13" s="509"/>
    </row>
    <row r="14" spans="1:5" s="511" customFormat="1" ht="15.95" customHeight="1" x14ac:dyDescent="0.2">
      <c r="A14" s="509"/>
      <c r="B14" s="510"/>
      <c r="C14" s="512"/>
      <c r="D14" s="608"/>
      <c r="E14" s="509"/>
    </row>
    <row r="15" spans="1:5" s="511" customFormat="1" ht="15.95" customHeight="1" x14ac:dyDescent="0.2">
      <c r="A15" s="992" t="s">
        <v>340</v>
      </c>
      <c r="B15" s="993"/>
      <c r="C15" s="513">
        <f>ROUND(POSTOS!K22/21,8)</f>
        <v>0</v>
      </c>
      <c r="D15" s="514" t="s">
        <v>354</v>
      </c>
      <c r="E15" s="509"/>
    </row>
    <row r="16" spans="1:5" s="511" customFormat="1" ht="15.95" customHeight="1" x14ac:dyDescent="0.2">
      <c r="A16" s="509"/>
      <c r="B16" s="509"/>
      <c r="C16" s="509"/>
      <c r="D16" s="509"/>
      <c r="E16" s="509"/>
    </row>
    <row r="17" spans="1:5" s="511" customFormat="1" ht="15.95" customHeight="1" x14ac:dyDescent="0.2">
      <c r="A17" s="509"/>
      <c r="B17" s="515" t="s">
        <v>341</v>
      </c>
      <c r="C17" s="515" t="s">
        <v>342</v>
      </c>
      <c r="D17" s="516" t="s">
        <v>343</v>
      </c>
      <c r="E17" s="509"/>
    </row>
    <row r="18" spans="1:5" s="511" customFormat="1" ht="15.95" customHeight="1" x14ac:dyDescent="0.2">
      <c r="A18" s="509"/>
      <c r="B18" s="517" t="s">
        <v>344</v>
      </c>
      <c r="C18" s="518">
        <f>ROUND((POSTOS!G22/30)*C12,2)</f>
        <v>0</v>
      </c>
      <c r="D18" s="519" t="s">
        <v>355</v>
      </c>
      <c r="E18" s="509"/>
    </row>
    <row r="19" spans="1:5" s="511" customFormat="1" ht="15.95" customHeight="1" x14ac:dyDescent="0.2">
      <c r="A19" s="509"/>
      <c r="B19" s="517" t="s">
        <v>345</v>
      </c>
      <c r="C19" s="520">
        <f>ROUND(C18*'ENCARGOS e PROVISOES'!F23/100,2)</f>
        <v>0</v>
      </c>
      <c r="D19" s="521" t="s">
        <v>363</v>
      </c>
      <c r="E19" s="509"/>
    </row>
    <row r="20" spans="1:5" s="511" customFormat="1" ht="15.95" customHeight="1" x14ac:dyDescent="0.2">
      <c r="A20" s="509"/>
      <c r="B20" s="517" t="s">
        <v>346</v>
      </c>
      <c r="C20" s="520">
        <f>ROUND(C13*(POSTOS!J22/21),2)</f>
        <v>0</v>
      </c>
      <c r="D20" s="519" t="s">
        <v>364</v>
      </c>
      <c r="E20" s="509"/>
    </row>
    <row r="21" spans="1:5" s="511" customFormat="1" ht="15.95" customHeight="1" x14ac:dyDescent="0.2">
      <c r="A21" s="509"/>
      <c r="B21" s="517" t="s">
        <v>347</v>
      </c>
      <c r="C21" s="520">
        <f>ROUND(C13*C15,2)</f>
        <v>0</v>
      </c>
      <c r="D21" s="519" t="s">
        <v>348</v>
      </c>
      <c r="E21" s="509"/>
    </row>
    <row r="22" spans="1:5" s="511" customFormat="1" ht="15.95" customHeight="1" x14ac:dyDescent="0.2">
      <c r="A22" s="509"/>
      <c r="B22" s="522" t="s">
        <v>349</v>
      </c>
      <c r="C22" s="523">
        <f>SUM(C18:C21)</f>
        <v>0</v>
      </c>
      <c r="D22" s="524"/>
      <c r="E22" s="509"/>
    </row>
    <row r="23" spans="1:5" s="511" customFormat="1" ht="15.95" customHeight="1" x14ac:dyDescent="0.2">
      <c r="A23" s="509"/>
      <c r="B23" s="517" t="s">
        <v>350</v>
      </c>
      <c r="C23" s="520">
        <f>ROUND(C22*CITL!F17,2)</f>
        <v>0</v>
      </c>
      <c r="D23" s="519" t="s">
        <v>367</v>
      </c>
      <c r="E23" s="509"/>
    </row>
    <row r="24" spans="1:5" s="511" customFormat="1" ht="15.95" customHeight="1" x14ac:dyDescent="0.2">
      <c r="A24" s="509"/>
      <c r="B24" s="522" t="s">
        <v>351</v>
      </c>
      <c r="C24" s="523">
        <f>C22+C23</f>
        <v>0</v>
      </c>
      <c r="D24" s="525"/>
      <c r="E24" s="509"/>
    </row>
    <row r="25" spans="1:5" s="511" customFormat="1" ht="15.95" customHeight="1" thickBot="1" x14ac:dyDescent="0.25">
      <c r="A25" s="509"/>
      <c r="B25" s="522"/>
      <c r="C25" s="526"/>
      <c r="D25" s="525"/>
      <c r="E25" s="509"/>
    </row>
    <row r="26" spans="1:5" s="504" customFormat="1" ht="15.95" customHeight="1" x14ac:dyDescent="0.2">
      <c r="A26" s="505"/>
      <c r="B26" s="505"/>
      <c r="C26" s="505"/>
      <c r="D26" s="505"/>
      <c r="E26" s="505"/>
    </row>
    <row r="27" spans="1:5" ht="15.95" customHeight="1" thickBot="1" x14ac:dyDescent="0.25">
      <c r="A27" s="506">
        <f>POSTOS!A23</f>
        <v>2</v>
      </c>
      <c r="B27" s="995" t="str">
        <f>POSTOS!B23</f>
        <v>Auxiliar de Almoxarifado</v>
      </c>
      <c r="C27" s="995"/>
      <c r="D27" s="995"/>
      <c r="E27" s="995"/>
    </row>
    <row r="28" spans="1:5" ht="15.95" customHeight="1" thickTop="1" x14ac:dyDescent="0.2">
      <c r="A28" s="507"/>
      <c r="B28" s="508"/>
      <c r="C28" s="507"/>
      <c r="D28" s="507"/>
      <c r="E28" s="507"/>
    </row>
    <row r="29" spans="1:5" s="511" customFormat="1" ht="15.95" customHeight="1" x14ac:dyDescent="0.2">
      <c r="A29" s="509"/>
      <c r="B29" s="510" t="s">
        <v>338</v>
      </c>
      <c r="C29" s="642">
        <v>1</v>
      </c>
      <c r="D29" s="608"/>
      <c r="E29" s="509"/>
    </row>
    <row r="30" spans="1:5" s="511" customFormat="1" ht="15.95" customHeight="1" x14ac:dyDescent="0.2">
      <c r="A30" s="509"/>
      <c r="B30" s="510" t="s">
        <v>339</v>
      </c>
      <c r="C30" s="642">
        <v>1</v>
      </c>
      <c r="D30" s="608"/>
      <c r="E30" s="509"/>
    </row>
    <row r="31" spans="1:5" s="511" customFormat="1" ht="15.95" customHeight="1" x14ac:dyDescent="0.2">
      <c r="A31" s="509"/>
      <c r="B31" s="510"/>
      <c r="C31" s="512"/>
      <c r="D31" s="608"/>
      <c r="E31" s="509"/>
    </row>
    <row r="32" spans="1:5" s="511" customFormat="1" ht="15.95" customHeight="1" x14ac:dyDescent="0.2">
      <c r="A32" s="992" t="s">
        <v>340</v>
      </c>
      <c r="B32" s="993"/>
      <c r="C32" s="513">
        <f>ROUND(POSTOS!K23/21,8)</f>
        <v>0</v>
      </c>
      <c r="D32" s="514" t="s">
        <v>356</v>
      </c>
      <c r="E32" s="509"/>
    </row>
    <row r="33" spans="1:5" s="511" customFormat="1" ht="15.95" customHeight="1" x14ac:dyDescent="0.2">
      <c r="A33" s="509"/>
      <c r="B33" s="509"/>
      <c r="C33" s="509"/>
      <c r="D33" s="509"/>
      <c r="E33" s="509"/>
    </row>
    <row r="34" spans="1:5" s="511" customFormat="1" ht="15.95" customHeight="1" x14ac:dyDescent="0.2">
      <c r="A34" s="509"/>
      <c r="B34" s="515" t="s">
        <v>341</v>
      </c>
      <c r="C34" s="515" t="s">
        <v>342</v>
      </c>
      <c r="D34" s="516" t="s">
        <v>343</v>
      </c>
      <c r="E34" s="509"/>
    </row>
    <row r="35" spans="1:5" s="511" customFormat="1" ht="15.95" customHeight="1" x14ac:dyDescent="0.2">
      <c r="A35" s="509"/>
      <c r="B35" s="517" t="s">
        <v>344</v>
      </c>
      <c r="C35" s="518">
        <f>ROUND((POSTOS!G23/30)*C29,2)</f>
        <v>0</v>
      </c>
      <c r="D35" s="519" t="s">
        <v>365</v>
      </c>
      <c r="E35" s="509"/>
    </row>
    <row r="36" spans="1:5" s="511" customFormat="1" ht="15.95" customHeight="1" x14ac:dyDescent="0.2">
      <c r="A36" s="509"/>
      <c r="B36" s="517" t="s">
        <v>345</v>
      </c>
      <c r="C36" s="520">
        <f>ROUND(C35*'ENCARGOS e PROVISOES'!F23/100,2)</f>
        <v>0</v>
      </c>
      <c r="D36" s="521" t="s">
        <v>362</v>
      </c>
      <c r="E36" s="509"/>
    </row>
    <row r="37" spans="1:5" s="511" customFormat="1" ht="15.95" customHeight="1" x14ac:dyDescent="0.2">
      <c r="A37" s="509"/>
      <c r="B37" s="517" t="s">
        <v>346</v>
      </c>
      <c r="C37" s="520">
        <f>ROUND(C30*(POSTOS!J23/21),2)</f>
        <v>0</v>
      </c>
      <c r="D37" s="519" t="s">
        <v>357</v>
      </c>
      <c r="E37" s="509"/>
    </row>
    <row r="38" spans="1:5" s="511" customFormat="1" ht="15.95" customHeight="1" x14ac:dyDescent="0.2">
      <c r="A38" s="509"/>
      <c r="B38" s="517" t="s">
        <v>347</v>
      </c>
      <c r="C38" s="520">
        <f>ROUND(C30*C32,2)</f>
        <v>0</v>
      </c>
      <c r="D38" s="519" t="s">
        <v>352</v>
      </c>
      <c r="E38" s="509"/>
    </row>
    <row r="39" spans="1:5" s="511" customFormat="1" ht="15.95" customHeight="1" x14ac:dyDescent="0.2">
      <c r="A39" s="509"/>
      <c r="B39" s="522" t="s">
        <v>349</v>
      </c>
      <c r="C39" s="523">
        <f>SUM(C35:C38)</f>
        <v>0</v>
      </c>
      <c r="D39" s="524"/>
      <c r="E39" s="509"/>
    </row>
    <row r="40" spans="1:5" s="511" customFormat="1" ht="15.95" customHeight="1" x14ac:dyDescent="0.2">
      <c r="A40" s="509"/>
      <c r="B40" s="517" t="s">
        <v>350</v>
      </c>
      <c r="C40" s="520">
        <f>ROUND(C39*CITL!F17,2)</f>
        <v>0</v>
      </c>
      <c r="D40" s="519" t="s">
        <v>366</v>
      </c>
      <c r="E40" s="509"/>
    </row>
    <row r="41" spans="1:5" s="511" customFormat="1" ht="15.95" customHeight="1" x14ac:dyDescent="0.2">
      <c r="A41" s="509"/>
      <c r="B41" s="522" t="s">
        <v>351</v>
      </c>
      <c r="C41" s="523">
        <f>C39+C40</f>
        <v>0</v>
      </c>
      <c r="D41" s="525"/>
      <c r="E41" s="509"/>
    </row>
    <row r="42" spans="1:5" s="511" customFormat="1" ht="15.95" customHeight="1" thickBot="1" x14ac:dyDescent="0.25">
      <c r="A42" s="509"/>
      <c r="B42" s="522"/>
      <c r="C42" s="526"/>
      <c r="D42" s="525"/>
      <c r="E42" s="509"/>
    </row>
    <row r="43" spans="1:5" s="504" customFormat="1" ht="15.95" customHeight="1" x14ac:dyDescent="0.2">
      <c r="A43" s="505"/>
      <c r="B43" s="505"/>
      <c r="C43" s="505"/>
      <c r="D43" s="505"/>
      <c r="E43" s="505"/>
    </row>
    <row r="44" spans="1:5" ht="15.95" customHeight="1" thickBot="1" x14ac:dyDescent="0.25">
      <c r="A44" s="506">
        <f>POSTOS!A24</f>
        <v>3</v>
      </c>
      <c r="B44" s="995" t="str">
        <f>POSTOS!B24</f>
        <v>Marceneiro</v>
      </c>
      <c r="C44" s="995"/>
      <c r="D44" s="995"/>
      <c r="E44" s="995"/>
    </row>
    <row r="45" spans="1:5" ht="15.95" customHeight="1" thickTop="1" x14ac:dyDescent="0.2">
      <c r="A45" s="507"/>
      <c r="B45" s="508"/>
      <c r="C45" s="507"/>
      <c r="D45" s="507"/>
      <c r="E45" s="507"/>
    </row>
    <row r="46" spans="1:5" s="511" customFormat="1" ht="15.95" customHeight="1" x14ac:dyDescent="0.2">
      <c r="A46" s="509"/>
      <c r="B46" s="510" t="s">
        <v>338</v>
      </c>
      <c r="C46" s="642">
        <v>1</v>
      </c>
      <c r="D46" s="608"/>
      <c r="E46" s="509"/>
    </row>
    <row r="47" spans="1:5" s="511" customFormat="1" ht="15.95" customHeight="1" x14ac:dyDescent="0.2">
      <c r="A47" s="509"/>
      <c r="B47" s="510" t="s">
        <v>339</v>
      </c>
      <c r="C47" s="642">
        <v>1</v>
      </c>
      <c r="D47" s="608"/>
      <c r="E47" s="509"/>
    </row>
    <row r="48" spans="1:5" s="511" customFormat="1" ht="15.95" customHeight="1" x14ac:dyDescent="0.2">
      <c r="A48" s="509"/>
      <c r="B48" s="510"/>
      <c r="C48" s="512"/>
      <c r="D48" s="608"/>
      <c r="E48" s="509"/>
    </row>
    <row r="49" spans="1:5" s="511" customFormat="1" ht="15.95" customHeight="1" x14ac:dyDescent="0.2">
      <c r="A49" s="992" t="s">
        <v>340</v>
      </c>
      <c r="B49" s="993"/>
      <c r="C49" s="513">
        <f>ROUND(POSTOS!K24/21,8)</f>
        <v>0</v>
      </c>
      <c r="D49" s="514" t="s">
        <v>358</v>
      </c>
      <c r="E49" s="509"/>
    </row>
    <row r="50" spans="1:5" s="511" customFormat="1" ht="15.95" customHeight="1" x14ac:dyDescent="0.2">
      <c r="A50" s="509"/>
      <c r="B50" s="509"/>
      <c r="C50" s="509"/>
      <c r="D50" s="509"/>
      <c r="E50" s="509"/>
    </row>
    <row r="51" spans="1:5" s="511" customFormat="1" ht="15.95" customHeight="1" x14ac:dyDescent="0.2">
      <c r="A51" s="509"/>
      <c r="B51" s="515" t="s">
        <v>341</v>
      </c>
      <c r="C51" s="515" t="s">
        <v>342</v>
      </c>
      <c r="D51" s="516" t="s">
        <v>343</v>
      </c>
      <c r="E51" s="509"/>
    </row>
    <row r="52" spans="1:5" s="511" customFormat="1" ht="15.95" customHeight="1" x14ac:dyDescent="0.2">
      <c r="A52" s="509"/>
      <c r="B52" s="517" t="s">
        <v>344</v>
      </c>
      <c r="C52" s="518">
        <f>ROUND((POSTOS!G24/30)*C46,2)</f>
        <v>0</v>
      </c>
      <c r="D52" s="519" t="s">
        <v>359</v>
      </c>
      <c r="E52" s="509"/>
    </row>
    <row r="53" spans="1:5" s="511" customFormat="1" ht="15.95" customHeight="1" x14ac:dyDescent="0.2">
      <c r="A53" s="509"/>
      <c r="B53" s="517" t="s">
        <v>345</v>
      </c>
      <c r="C53" s="520">
        <f>ROUND(C52*'ENCARGOS e PROVISOES'!F23/100,2)</f>
        <v>0</v>
      </c>
      <c r="D53" s="521" t="s">
        <v>360</v>
      </c>
      <c r="E53" s="509"/>
    </row>
    <row r="54" spans="1:5" s="511" customFormat="1" ht="15.95" customHeight="1" x14ac:dyDescent="0.2">
      <c r="A54" s="509"/>
      <c r="B54" s="517" t="s">
        <v>346</v>
      </c>
      <c r="C54" s="520">
        <f>ROUND(C47*(POSTOS!J24/22),2)</f>
        <v>0</v>
      </c>
      <c r="D54" s="519" t="s">
        <v>361</v>
      </c>
      <c r="E54" s="509"/>
    </row>
    <row r="55" spans="1:5" s="511" customFormat="1" ht="15.95" customHeight="1" x14ac:dyDescent="0.2">
      <c r="A55" s="509"/>
      <c r="B55" s="517" t="s">
        <v>347</v>
      </c>
      <c r="C55" s="520">
        <f>ROUND(C47*C49,2)</f>
        <v>0</v>
      </c>
      <c r="D55" s="519" t="s">
        <v>353</v>
      </c>
      <c r="E55" s="509"/>
    </row>
    <row r="56" spans="1:5" s="511" customFormat="1" ht="15.95" customHeight="1" x14ac:dyDescent="0.2">
      <c r="A56" s="509"/>
      <c r="B56" s="522" t="s">
        <v>349</v>
      </c>
      <c r="C56" s="523">
        <f>SUM(C52:C55)</f>
        <v>0</v>
      </c>
      <c r="D56" s="524"/>
      <c r="E56" s="509"/>
    </row>
    <row r="57" spans="1:5" s="511" customFormat="1" ht="15.95" customHeight="1" x14ac:dyDescent="0.2">
      <c r="A57" s="509"/>
      <c r="B57" s="517" t="s">
        <v>350</v>
      </c>
      <c r="C57" s="520">
        <f>ROUND(C56*CITL!F17,2)</f>
        <v>0</v>
      </c>
      <c r="D57" s="519" t="s">
        <v>368</v>
      </c>
      <c r="E57" s="509"/>
    </row>
    <row r="58" spans="1:5" s="511" customFormat="1" ht="15.95" customHeight="1" x14ac:dyDescent="0.2">
      <c r="A58" s="509"/>
      <c r="B58" s="522" t="s">
        <v>351</v>
      </c>
      <c r="C58" s="523">
        <f>C56+C57</f>
        <v>0</v>
      </c>
      <c r="D58" s="525"/>
      <c r="E58" s="509"/>
    </row>
    <row r="59" spans="1:5" s="511" customFormat="1" ht="15.95" customHeight="1" x14ac:dyDescent="0.2">
      <c r="A59" s="509"/>
      <c r="B59" s="522"/>
      <c r="C59" s="526"/>
      <c r="D59" s="525"/>
      <c r="E59" s="509"/>
    </row>
    <row r="60" spans="1:5" s="511" customFormat="1" ht="15.95" customHeight="1" x14ac:dyDescent="0.2">
      <c r="A60" s="509"/>
      <c r="B60" s="522"/>
      <c r="C60" s="526"/>
      <c r="D60" s="525"/>
      <c r="E60" s="509"/>
    </row>
    <row r="61" spans="1:5" s="511" customFormat="1" ht="15.95" customHeight="1" x14ac:dyDescent="0.2">
      <c r="A61" s="509"/>
      <c r="B61" s="522"/>
      <c r="C61" s="526"/>
      <c r="D61" s="525"/>
      <c r="E61" s="509"/>
    </row>
  </sheetData>
  <sheetProtection algorithmName="SHA-512" hashValue="KwZ+cUYcMU8V7vlb18esw5Hi758Qgs+g0BG6wM2PFNkc8mftcZKC/K5JfyudDmco2cwwqdMrVOIPESzGiJEYiA==" saltValue="y57+gv63Z4iIGEZpH2pcYA==" spinCount="100000" sheet="1" objects="1" scenarios="1" selectLockedCells="1"/>
  <mergeCells count="13">
    <mergeCell ref="A49:B49"/>
    <mergeCell ref="A8:E8"/>
    <mergeCell ref="B10:E10"/>
    <mergeCell ref="A15:B15"/>
    <mergeCell ref="B27:E27"/>
    <mergeCell ref="A32:B32"/>
    <mergeCell ref="B44:E44"/>
    <mergeCell ref="A7:E7"/>
    <mergeCell ref="A1:E1"/>
    <mergeCell ref="A2:E2"/>
    <mergeCell ref="A3:E3"/>
    <mergeCell ref="A5:E5"/>
    <mergeCell ref="A6:E6"/>
  </mergeCells>
  <pageMargins left="0.51181102362204722" right="0.51181102362204722" top="0.78740157480314965" bottom="0.78740157480314965" header="0.31496062992125984" footer="0.31496062992125984"/>
  <pageSetup paperSize="9" scale="63" fitToHeight="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9</vt:i4>
      </vt:variant>
      <vt:variant>
        <vt:lpstr>Intervalos nomeados</vt:lpstr>
      </vt:variant>
      <vt:variant>
        <vt:i4>9</vt:i4>
      </vt:variant>
    </vt:vector>
  </HeadingPairs>
  <TitlesOfParts>
    <vt:vector size="18" baseType="lpstr">
      <vt:lpstr>POSTOS</vt:lpstr>
      <vt:lpstr>RESUMO POR SECRETARIA</vt:lpstr>
      <vt:lpstr>ENCARGOS e PROVISOES</vt:lpstr>
      <vt:lpstr>MOD ENC PRORR CTRAB INDETERM</vt:lpstr>
      <vt:lpstr>CITL</vt:lpstr>
      <vt:lpstr>EQUIPAMENTOS</vt:lpstr>
      <vt:lpstr>INSUMOS</vt:lpstr>
      <vt:lpstr>HORA SUPLEMENTAR</vt:lpstr>
      <vt:lpstr>CALCULO DESCONTO</vt:lpstr>
      <vt:lpstr>'CALCULO DESCONTO'!Area_de_impressao</vt:lpstr>
      <vt:lpstr>CITL!Area_de_impressao</vt:lpstr>
      <vt:lpstr>'ENCARGOS e PROVISOES'!Area_de_impressao</vt:lpstr>
      <vt:lpstr>EQUIPAMENTOS!Area_de_impressao</vt:lpstr>
      <vt:lpstr>'HORA SUPLEMENTAR'!Area_de_impressao</vt:lpstr>
      <vt:lpstr>INSUMOS!Area_de_impressao</vt:lpstr>
      <vt:lpstr>'MOD ENC PRORR CTRAB INDETERM'!Area_de_impressao</vt:lpstr>
      <vt:lpstr>POSTOS!Area_de_impressao</vt:lpstr>
      <vt:lpstr>'RESUMO POR SECRETARIA'!Area_de_impressao</vt:lpstr>
    </vt:vector>
  </TitlesOfParts>
  <Company>Justiça Eleitoral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 Maria</dc:creator>
  <cp:lastModifiedBy>MARIA CAROLINA</cp:lastModifiedBy>
  <cp:lastPrinted>2024-03-08T02:04:29Z</cp:lastPrinted>
  <dcterms:created xsi:type="dcterms:W3CDTF">2002-06-10T15:51:10Z</dcterms:created>
  <dcterms:modified xsi:type="dcterms:W3CDTF">2024-04-18T14:37:38Z</dcterms:modified>
</cp:coreProperties>
</file>